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ckmanj\OneDrive - King County\Desktop\SharePoint\"/>
    </mc:Choice>
  </mc:AlternateContent>
  <bookViews>
    <workbookView xWindow="-30" yWindow="240" windowWidth="15480" windowHeight="11640" tabRatio="794"/>
  </bookViews>
  <sheets>
    <sheet name="Total Emissions" sheetId="5" r:id="rId1"/>
    <sheet name="Definition of Building Types" sheetId="3" r:id="rId2"/>
    <sheet name="Embodied Emissions" sheetId="4" r:id="rId3"/>
    <sheet name="Energy Emissions" sheetId="1" r:id="rId4"/>
    <sheet name="Transportation Emissions" sheetId="2" r:id="rId5"/>
  </sheets>
  <definedNames>
    <definedName name="Education" localSheetId="1">'Definition of Building Types'!$B$8</definedName>
    <definedName name="_xlnm.Print_Area" localSheetId="3">'Energy Emissions'!$A$2:$K$70</definedName>
    <definedName name="_xlnm.Print_Area" localSheetId="4">'Transportation Emissions'!$B$1:$L$84</definedName>
  </definedNames>
  <calcPr calcId="162913"/>
</workbook>
</file>

<file path=xl/calcChain.xml><?xml version="1.0" encoding="utf-8"?>
<calcChain xmlns="http://schemas.openxmlformats.org/spreadsheetml/2006/main">
  <c r="B29" i="4" l="1"/>
  <c r="B31" i="4"/>
  <c r="C29" i="4"/>
  <c r="C31" i="4" s="1"/>
  <c r="C30" i="4"/>
  <c r="D29" i="4"/>
  <c r="D31" i="4" s="1"/>
  <c r="E29" i="4"/>
  <c r="E30" i="4"/>
  <c r="E31" i="4"/>
  <c r="F29" i="4"/>
  <c r="F31" i="4"/>
  <c r="G29" i="4"/>
  <c r="G31" i="4" s="1"/>
  <c r="I4" i="2"/>
  <c r="F6" i="5"/>
  <c r="C6" i="4"/>
  <c r="C8" i="4"/>
  <c r="C5" i="4"/>
  <c r="H27" i="5"/>
  <c r="E53" i="1"/>
  <c r="E52" i="1"/>
  <c r="E54" i="1"/>
  <c r="I5" i="1"/>
  <c r="G4" i="2"/>
  <c r="J4" i="2" s="1"/>
  <c r="G6" i="5" s="1"/>
  <c r="I6" i="1"/>
  <c r="I5" i="2" s="1"/>
  <c r="G5" i="2"/>
  <c r="D53" i="1"/>
  <c r="D54" i="1" s="1"/>
  <c r="D52" i="1"/>
  <c r="G6" i="2"/>
  <c r="G3" i="2"/>
  <c r="D3" i="2"/>
  <c r="E3" i="2" s="1"/>
  <c r="H3" i="2" s="1"/>
  <c r="D4" i="2"/>
  <c r="E4" i="2"/>
  <c r="H4" i="2" s="1"/>
  <c r="K4" i="2" s="1"/>
  <c r="E5" i="2"/>
  <c r="H5" i="2" s="1"/>
  <c r="D6" i="2"/>
  <c r="E6" i="2" s="1"/>
  <c r="H6" i="2" s="1"/>
  <c r="D10" i="1"/>
  <c r="E10" i="1"/>
  <c r="G10" i="1" s="1"/>
  <c r="H8" i="2"/>
  <c r="K8" i="2" s="1"/>
  <c r="G10" i="5" s="1"/>
  <c r="D11" i="1"/>
  <c r="E11" i="1"/>
  <c r="G11" i="1"/>
  <c r="H11" i="1"/>
  <c r="H9" i="2"/>
  <c r="K9" i="2" s="1"/>
  <c r="G11" i="5" s="1"/>
  <c r="D12" i="1"/>
  <c r="E12" i="1"/>
  <c r="G12" i="1"/>
  <c r="H12" i="1"/>
  <c r="H10" i="2"/>
  <c r="K10" i="2" s="1"/>
  <c r="G12" i="5" s="1"/>
  <c r="D13" i="1"/>
  <c r="E13" i="1" s="1"/>
  <c r="H11" i="2"/>
  <c r="K11" i="2" s="1"/>
  <c r="G13" i="5" s="1"/>
  <c r="D14" i="1"/>
  <c r="E14" i="1"/>
  <c r="G14" i="1" s="1"/>
  <c r="H12" i="2"/>
  <c r="K12" i="2" s="1"/>
  <c r="G14" i="5" s="1"/>
  <c r="D15" i="1"/>
  <c r="E15" i="1"/>
  <c r="G15" i="1"/>
  <c r="H15" i="1"/>
  <c r="H13" i="2"/>
  <c r="K13" i="2" s="1"/>
  <c r="G15" i="5" s="1"/>
  <c r="D16" i="1"/>
  <c r="E16" i="1"/>
  <c r="G16" i="1"/>
  <c r="H16" i="1"/>
  <c r="H14" i="2"/>
  <c r="K14" i="2"/>
  <c r="G16" i="5" s="1"/>
  <c r="D17" i="1"/>
  <c r="E17" i="1" s="1"/>
  <c r="H15" i="2"/>
  <c r="K15" i="2" s="1"/>
  <c r="G17" i="5" s="1"/>
  <c r="D18" i="1"/>
  <c r="E18" i="1"/>
  <c r="G18" i="1" s="1"/>
  <c r="H16" i="2"/>
  <c r="K16" i="2" s="1"/>
  <c r="G18" i="5" s="1"/>
  <c r="D19" i="1"/>
  <c r="E19" i="1"/>
  <c r="G19" i="1"/>
  <c r="H19" i="1"/>
  <c r="H17" i="2"/>
  <c r="K17" i="2" s="1"/>
  <c r="G19" i="5" s="1"/>
  <c r="D20" i="1"/>
  <c r="E20" i="1"/>
  <c r="G20" i="1"/>
  <c r="H20" i="1"/>
  <c r="H18" i="2"/>
  <c r="K18" i="2"/>
  <c r="G20" i="5" s="1"/>
  <c r="D21" i="1"/>
  <c r="E21" i="1" s="1"/>
  <c r="H19" i="2"/>
  <c r="K19" i="2" s="1"/>
  <c r="G21" i="5" s="1"/>
  <c r="D22" i="1"/>
  <c r="E22" i="1"/>
  <c r="G22" i="1" s="1"/>
  <c r="H20" i="2"/>
  <c r="K20" i="2" s="1"/>
  <c r="G22" i="5" s="1"/>
  <c r="H21" i="2"/>
  <c r="K21" i="2" s="1"/>
  <c r="G23" i="5" s="1"/>
  <c r="D9" i="1"/>
  <c r="E9" i="1" s="1"/>
  <c r="H7" i="2"/>
  <c r="K7" i="2" s="1"/>
  <c r="G9" i="5" s="1"/>
  <c r="D5" i="1"/>
  <c r="E5" i="1"/>
  <c r="G5" i="1" s="1"/>
  <c r="J5" i="1"/>
  <c r="D6" i="1"/>
  <c r="E6" i="1" s="1"/>
  <c r="D7" i="1"/>
  <c r="E7" i="1"/>
  <c r="D4" i="1"/>
  <c r="E4" i="1"/>
  <c r="G4" i="1" s="1"/>
  <c r="F53" i="1"/>
  <c r="F54" i="1" s="1"/>
  <c r="F52" i="1"/>
  <c r="F4" i="1"/>
  <c r="F5" i="1"/>
  <c r="F7" i="1"/>
  <c r="G7" i="1"/>
  <c r="H7" i="1" s="1"/>
  <c r="D8" i="1"/>
  <c r="E8" i="1" s="1"/>
  <c r="C7" i="2"/>
  <c r="G7" i="2" s="1"/>
  <c r="J7" i="2" s="1"/>
  <c r="C8" i="2"/>
  <c r="G8" i="2" s="1"/>
  <c r="J8" i="2" s="1"/>
  <c r="C9" i="2"/>
  <c r="G9" i="2" s="1"/>
  <c r="J9" i="2" s="1"/>
  <c r="C10" i="2"/>
  <c r="G10" i="2" s="1"/>
  <c r="J10" i="2" s="1"/>
  <c r="C11" i="2"/>
  <c r="G11" i="2" s="1"/>
  <c r="J11" i="2" s="1"/>
  <c r="C12" i="2"/>
  <c r="G12" i="2" s="1"/>
  <c r="J12" i="2" s="1"/>
  <c r="C13" i="2"/>
  <c r="G13" i="2" s="1"/>
  <c r="J13" i="2" s="1"/>
  <c r="C14" i="2"/>
  <c r="G14" i="2" s="1"/>
  <c r="J14" i="2" s="1"/>
  <c r="C15" i="2"/>
  <c r="G15" i="2" s="1"/>
  <c r="J15" i="2" s="1"/>
  <c r="C16" i="2"/>
  <c r="G16" i="2" s="1"/>
  <c r="J16" i="2" s="1"/>
  <c r="C17" i="2"/>
  <c r="G17" i="2" s="1"/>
  <c r="J17" i="2" s="1"/>
  <c r="C18" i="2"/>
  <c r="G18" i="2" s="1"/>
  <c r="J18" i="2" s="1"/>
  <c r="C19" i="2"/>
  <c r="G19" i="2" s="1"/>
  <c r="J19" i="2" s="1"/>
  <c r="C20" i="2"/>
  <c r="G20" i="2" s="1"/>
  <c r="J20" i="2" s="1"/>
  <c r="C21" i="2"/>
  <c r="G21" i="2" s="1"/>
  <c r="J21" i="2" s="1"/>
  <c r="B51" i="2"/>
  <c r="B60" i="2"/>
  <c r="K5" i="2" l="1"/>
  <c r="J5" i="2"/>
  <c r="G7" i="5" s="1"/>
  <c r="H31" i="4"/>
  <c r="I31" i="4" s="1"/>
  <c r="G8" i="1"/>
  <c r="H10" i="1"/>
  <c r="G9" i="1"/>
  <c r="J9" i="1"/>
  <c r="I4" i="1"/>
  <c r="I7" i="1"/>
  <c r="J6" i="1"/>
  <c r="F7" i="5" s="1"/>
  <c r="G6" i="1"/>
  <c r="J17" i="1"/>
  <c r="G17" i="1"/>
  <c r="K5" i="1"/>
  <c r="H5" i="1"/>
  <c r="G21" i="1"/>
  <c r="K14" i="1"/>
  <c r="F15" i="5" s="1"/>
  <c r="H14" i="1"/>
  <c r="K19" i="1"/>
  <c r="F20" i="5" s="1"/>
  <c r="B67" i="2"/>
  <c r="I9" i="1"/>
  <c r="I17" i="1"/>
  <c r="I11" i="1"/>
  <c r="J11" i="1" s="1"/>
  <c r="I15" i="1"/>
  <c r="K15" i="1" s="1"/>
  <c r="F16" i="5" s="1"/>
  <c r="I19" i="1"/>
  <c r="J19" i="1" s="1"/>
  <c r="I21" i="1"/>
  <c r="J21" i="1" s="1"/>
  <c r="I8" i="1"/>
  <c r="J8" i="1" s="1"/>
  <c r="I16" i="1"/>
  <c r="I20" i="1"/>
  <c r="I22" i="1"/>
  <c r="I14" i="1"/>
  <c r="I12" i="1"/>
  <c r="I13" i="1"/>
  <c r="J13" i="1" s="1"/>
  <c r="I10" i="1"/>
  <c r="K10" i="1" s="1"/>
  <c r="F11" i="5" s="1"/>
  <c r="H22" i="1"/>
  <c r="K22" i="1"/>
  <c r="F23" i="5" s="1"/>
  <c r="J15" i="1"/>
  <c r="G13" i="1"/>
  <c r="H18" i="1"/>
  <c r="I18" i="1"/>
  <c r="J18" i="1" s="1"/>
  <c r="H4" i="1"/>
  <c r="K4" i="1"/>
  <c r="K11" i="1"/>
  <c r="F12" i="5" s="1"/>
  <c r="J22" i="1"/>
  <c r="J10" i="1"/>
  <c r="J14" i="1"/>
  <c r="H9" i="1" l="1"/>
  <c r="K9" i="1"/>
  <c r="F10" i="5" s="1"/>
  <c r="J20" i="1"/>
  <c r="K20" i="1"/>
  <c r="F21" i="5" s="1"/>
  <c r="K17" i="1"/>
  <c r="F18" i="5" s="1"/>
  <c r="H17" i="1"/>
  <c r="K16" i="1"/>
  <c r="F17" i="5" s="1"/>
  <c r="J16" i="1"/>
  <c r="K18" i="1"/>
  <c r="F19" i="5" s="1"/>
  <c r="H6" i="1"/>
  <c r="K6" i="1"/>
  <c r="H8" i="1"/>
  <c r="K8" i="1"/>
  <c r="F9" i="5" s="1"/>
  <c r="H21" i="1"/>
  <c r="K21" i="1"/>
  <c r="F22" i="5" s="1"/>
  <c r="J12" i="1"/>
  <c r="K12" i="1"/>
  <c r="F13" i="5" s="1"/>
  <c r="K13" i="1"/>
  <c r="F14" i="5" s="1"/>
  <c r="H13" i="1"/>
  <c r="J7" i="1"/>
  <c r="F8" i="5" s="1"/>
  <c r="I6" i="2"/>
  <c r="K7" i="1"/>
  <c r="I3" i="2"/>
  <c r="J4" i="1"/>
  <c r="F5" i="5" s="1"/>
  <c r="E17" i="4"/>
  <c r="E14" i="4"/>
  <c r="E7" i="4"/>
  <c r="D7" i="4" s="1"/>
  <c r="E15" i="4"/>
  <c r="E5" i="4"/>
  <c r="D5" i="4" s="1"/>
  <c r="E10" i="4"/>
  <c r="E18" i="4"/>
  <c r="E12" i="4"/>
  <c r="E21" i="4"/>
  <c r="E23" i="4"/>
  <c r="E8" i="4"/>
  <c r="D8" i="4" s="1"/>
  <c r="E11" i="4"/>
  <c r="E19" i="4"/>
  <c r="E6" i="4"/>
  <c r="D6" i="4" s="1"/>
  <c r="E20" i="4"/>
  <c r="E9" i="4"/>
  <c r="E13" i="4"/>
  <c r="E22" i="4"/>
  <c r="E16" i="4"/>
  <c r="J3" i="2" l="1"/>
  <c r="G5" i="5" s="1"/>
  <c r="K3" i="2"/>
  <c r="E6" i="5"/>
  <c r="H6" i="5"/>
  <c r="H10" i="5"/>
  <c r="D10" i="4"/>
  <c r="E10" i="5"/>
  <c r="E5" i="5"/>
  <c r="E8" i="5"/>
  <c r="E7" i="5"/>
  <c r="H7" i="5"/>
  <c r="H9" i="5"/>
  <c r="E9" i="5"/>
  <c r="D9" i="4"/>
  <c r="H18" i="5"/>
  <c r="D18" i="4"/>
  <c r="E18" i="5"/>
  <c r="D11" i="4"/>
  <c r="E11" i="5"/>
  <c r="H11" i="5"/>
  <c r="D15" i="4"/>
  <c r="H15" i="5"/>
  <c r="E15" i="5"/>
  <c r="H16" i="5"/>
  <c r="D16" i="4"/>
  <c r="E16" i="5"/>
  <c r="E22" i="5"/>
  <c r="H22" i="5"/>
  <c r="D22" i="4"/>
  <c r="D23" i="4"/>
  <c r="H23" i="5"/>
  <c r="E23" i="5"/>
  <c r="E14" i="5"/>
  <c r="H14" i="5"/>
  <c r="D14" i="4"/>
  <c r="E12" i="5"/>
  <c r="H12" i="5"/>
  <c r="D12" i="4"/>
  <c r="D20" i="4"/>
  <c r="H20" i="5"/>
  <c r="E20" i="5"/>
  <c r="D19" i="4"/>
  <c r="H19" i="5"/>
  <c r="E19" i="5"/>
  <c r="J6" i="2"/>
  <c r="G8" i="5" s="1"/>
  <c r="K6" i="2"/>
  <c r="E13" i="5"/>
  <c r="D13" i="4"/>
  <c r="H13" i="5"/>
  <c r="E21" i="5"/>
  <c r="D21" i="4"/>
  <c r="H21" i="5"/>
  <c r="D17" i="4"/>
  <c r="H17" i="5"/>
  <c r="E17" i="5"/>
  <c r="H5" i="5" l="1"/>
  <c r="H8" i="5"/>
  <c r="H29" i="5" l="1"/>
</calcChain>
</file>

<file path=xl/sharedStrings.xml><?xml version="1.0" encoding="utf-8"?>
<sst xmlns="http://schemas.openxmlformats.org/spreadsheetml/2006/main" count="306" uniqueCount="194">
  <si>
    <t xml:space="preserve">Note: At this time, KC staff could find no reliable data for the average life span of commercial buildings. </t>
  </si>
  <si>
    <t>Therefore, the average life span of residential buildings is being used until a better approximation can be ascertained.</t>
  </si>
  <si>
    <t>average lief span of buildings, estimated by replacement time method</t>
  </si>
  <si>
    <t>Floorspace
per Building (thousand square feet)</t>
  </si>
  <si>
    <t>Education ....................</t>
  </si>
  <si>
    <t>Food Sales ...................</t>
  </si>
  <si>
    <t>Food Service .................</t>
  </si>
  <si>
    <t>Lodging ......................</t>
  </si>
  <si>
    <t>Retail (Other Than Mall)......</t>
  </si>
  <si>
    <t>Office .......................</t>
  </si>
  <si>
    <t>Public Assembly ..............</t>
  </si>
  <si>
    <t>Public Order and Safety ......</t>
  </si>
  <si>
    <t>Religious Worship ............</t>
  </si>
  <si>
    <t>Service ......................</t>
  </si>
  <si>
    <t>Warehouse and Storage ........</t>
  </si>
  <si>
    <t>Other ........................</t>
  </si>
  <si>
    <t>Vacant .......................</t>
  </si>
  <si>
    <t>MTCO2e per building per year</t>
  </si>
  <si>
    <t>MTCE per thousand square feet per year</t>
  </si>
  <si>
    <t>MTCO2e per thousand square feet per year</t>
  </si>
  <si>
    <t>Energy consumption per building per year (million Btu)</t>
  </si>
  <si>
    <t>Table C3.  Consumption and Gross Energy Intensity for Sum of Major Fuels for Non-Mall Buildings, 2003</t>
  </si>
  <si>
    <t>http://buildingsdatabook.eren.doe.gov/</t>
  </si>
  <si>
    <t>http://www.eia.doe.gov/emeu/recs/sqft-measure.html</t>
  </si>
  <si>
    <t>Square footage measurements and comparisons</t>
  </si>
  <si>
    <t>http://www.wsdot.wa.gov/mapsdata/tdo/annualmileage.htm</t>
  </si>
  <si>
    <t>2006 WA state population</t>
  </si>
  <si>
    <t>http://quickfacts.census.gov/qfd/states/53000.html</t>
  </si>
  <si>
    <t>vehicle miles per person per year</t>
  </si>
  <si>
    <t>gallon gasoline/mile</t>
  </si>
  <si>
    <t>lbs CO2e/gallon gasoline</t>
  </si>
  <si>
    <t>lbs/metric tonne</t>
  </si>
  <si>
    <t>vehicle related GHG emissions (metric tonnes CO2e per person per year)</t>
  </si>
  <si>
    <t>This is the weighted national average fuel efficiency for all cars and 2 axle, 4 wheel light trucks in 2005. This</t>
  </si>
  <si>
    <t>includes pickup trucks, vans and SUVs. The 0.051 gallons/mile used here is the inverse of the more commonly</t>
  </si>
  <si>
    <t>known term “miles/per gallon” (which is 19.75 for these cars and light trucks).</t>
  </si>
  <si>
    <t>Transportation Energy Data Book. 26th Edition. 2006. Chapter 4: Light Vehicles and Characteristics. Calculations</t>
  </si>
  <si>
    <t>http://cta.ornl.gov/data/tedb26/Edition26_Chapter04.pdf</t>
  </si>
  <si>
    <t>Sources</t>
  </si>
  <si>
    <t>All Residential Buildings</t>
  </si>
  <si>
    <t>Average Building Life Span</t>
  </si>
  <si>
    <t>http://www.eia.doe.gov/emeu/cbecs/cbecs2003/detailed_tables_2003/2003set1/2003excel/b2.xls</t>
  </si>
  <si>
    <t># people/ unit</t>
  </si>
  <si>
    <t>Washington State Office of Financial Management</t>
  </si>
  <si>
    <t># employees/thousand square feet</t>
  </si>
  <si>
    <t xml:space="preserve">Note: Data for # employees/thousand square feet is presented by CBECS as square feet/employee. </t>
  </si>
  <si>
    <t>2006 Annual WA State Vehicle Miles Traveled</t>
  </si>
  <si>
    <t>Data was daily VMT. Annual VMT was 365*daily VMT.</t>
  </si>
  <si>
    <t>based on weighted average MPG efficiency of cars and light trucks.</t>
  </si>
  <si>
    <t>http://cta.ornl.gov/data/tedb26/Spreadsheets/Table3_04.xls</t>
  </si>
  <si>
    <t>as well as their combustion.</t>
  </si>
  <si>
    <t>The CO2 emissions estimates for gasoline and diesel include the extraction, transport, and refinement of petroleum</t>
  </si>
  <si>
    <t>All data in black text</t>
  </si>
  <si>
    <t>King County, DNRP. Contact: Matt Kuharic, matt.kuharic@kingcounty.gov</t>
  </si>
  <si>
    <t>MTCO2e/ year/ thousand square feet</t>
  </si>
  <si>
    <t>MTCO2e/ year/ unit</t>
  </si>
  <si>
    <t>Life span transportation related GHG emissions (MTCO2e/ per unit)</t>
  </si>
  <si>
    <t>Life span transportation related GHG emissions (MTCO2e/ thousand sq feet)</t>
  </si>
  <si>
    <t>Single-Family Home</t>
  </si>
  <si>
    <t>Mobile Home</t>
  </si>
  <si>
    <t>Commercial Buildings Energy Consumption Survey commercial energy uses and costs (National Median, 2003)</t>
  </si>
  <si>
    <t>Estimating Household Size for Use in Population Estimates (WA state, 2000 average)</t>
  </si>
  <si>
    <t>Estimate calculated as follows (Washington state, 2006)_</t>
  </si>
  <si>
    <t>Lifespan Energy Related MTCO2e emissions per unit</t>
  </si>
  <si>
    <t>Lifespan Energy Related MTCO2e emissions per thousand square feet</t>
  </si>
  <si>
    <t>Table 6.1.4: Average Annual Carbon Dioxide Emissions for Various Functions</t>
  </si>
  <si>
    <t>Data also at: http://www.eia.doe.gov/emeu/recs/recs2001_ce/ce1-4c_housingunits2001.html</t>
  </si>
  <si>
    <t>Table 3.1.7. 2005 Carbon Dioxide Emission Coefficients for Buildings (MMTCE per Quadrillion Btu)</t>
  </si>
  <si>
    <t>http://buildingsdatabook.eere.energy.gov/?id=view_book_table&amp;TableID=2057</t>
  </si>
  <si>
    <t>Buildings Energy Data Book (National average, 2005)</t>
  </si>
  <si>
    <t>Carbon Coefficient for Buildings</t>
  </si>
  <si>
    <t>Energy consumption for residential buildings</t>
  </si>
  <si>
    <t>Energy consumption for commercial buildings</t>
  </si>
  <si>
    <t>http://www.eia.doe.gov/emeu/cbecs/cbecs2003/detailed_tables_2003/2003set9/2003excel/c3.xls</t>
  </si>
  <si>
    <t>Note: Data in plum color is found in both of the above sources (buildings energy data book and commercial buildings energy consumption survey).</t>
  </si>
  <si>
    <t>Residential floorspace per unit</t>
  </si>
  <si>
    <t>and</t>
  </si>
  <si>
    <t>Floorspace per building</t>
  </si>
  <si>
    <t>2001 Residential Energy Consumption Survey (National Average, 2001)</t>
  </si>
  <si>
    <t>EIA, 2003 Commercial Buildings Energy Consumption Survey (National Average, 2003)</t>
  </si>
  <si>
    <t>2007 Buildings Energy Data Book:  6.1 Quad Definitions and Comparisons (National Average, 2001)</t>
  </si>
  <si>
    <t># people or employees/ thousand square feet</t>
  </si>
  <si>
    <t>Description</t>
  </si>
  <si>
    <t xml:space="preserve">Multi-Family Unit in Large Building </t>
  </si>
  <si>
    <t>Apartments in buildings with more than 5 units</t>
  </si>
  <si>
    <t xml:space="preserve">Multi-Family Unit in Small Building </t>
  </si>
  <si>
    <t>Apartments in building with 2-4 units</t>
  </si>
  <si>
    <t>Unless otherwise specified, this includes both attached and detached buildings</t>
  </si>
  <si>
    <t>Buildings used for retail or wholesale of food.</t>
  </si>
  <si>
    <t>Buildings used for preparation and sale of food and beverages for consumption.</t>
  </si>
  <si>
    <t>Buildings used as diagnostic and treatment facilities for inpatient care.</t>
  </si>
  <si>
    <t>Buildings used as diagnostic and treatment facilities for outpatient care. Doctor's or dentist's office are included here if they use any type of diagnostic medical equipment (if they do not, they are categorized as an office building).</t>
  </si>
  <si>
    <t>Buildings used to offer multiple accommodations for short-term or long-term residents, including skilled nursing and other residential care buildings.</t>
  </si>
  <si>
    <t>Buildings used for the sale and display of goods other than food.</t>
  </si>
  <si>
    <t>Buildings in which people gather for social or recreational activities, whether in private or non-private meeting halls.</t>
  </si>
  <si>
    <t>Buildings used for the preservation of law and order or public safety.</t>
  </si>
  <si>
    <t>Buildings in which people gather for religious activities, (such as chapels, churches, mosques, synagogues, and temples).</t>
  </si>
  <si>
    <t>Buildings in which some type of service is provided, other than food service or retail sales of goods </t>
  </si>
  <si>
    <t>Buildings used to store goods, manufactured products, merchandise, raw materials, or personal belongings (such as self-storage).</t>
  </si>
  <si>
    <t>Buildings that are industrial or agricultural with some retail space; buildings having several different commercial activities that, together, comprise 50 percent or more of the floorspace, but whose largest single activity is agricultural, industrial/ manufacturing, or residential; and all other miscellaneous buildings that do not fit into any other category.</t>
  </si>
  <si>
    <t>Buildings in which more floorspace was vacant than was used for any single commercial activity at the time of interview. Therefore, a vacant building may have some occupied floorspace.</t>
  </si>
  <si>
    <t>Buildings used for academic or technical classroom instruction, such as elementary, middle, or high schools, and classroom buildings on college or university campuses. Buildings on education campuses for which the main use is not classroom are included in the category relating to their use. For example, administration buildings are part of "Office," dormitories are "Lodging," and libraries are "Public Assembly."</t>
  </si>
  <si>
    <t>Buildings used for general office space, professional office, or administrative offices. Doctor's or dentist's office are included here if they do not use any type of diagnostic medical equipment (if they do, they are categorized as an outpatient health care building).</t>
  </si>
  <si>
    <t xml:space="preserve">Commercial Buildings Energy Consumption Survey (CBECS), </t>
  </si>
  <si>
    <t>http://www.eia.doe.gov/emeu/cbecs/pba99/bldgtypes.html</t>
  </si>
  <si>
    <t xml:space="preserve">Description of CBECS Building Types </t>
  </si>
  <si>
    <t>2001 Residential Energy Consumption Survey</t>
  </si>
  <si>
    <t>Residential</t>
  </si>
  <si>
    <t>Commercial</t>
  </si>
  <si>
    <t xml:space="preserve">Sources: </t>
  </si>
  <si>
    <t># thousand sq feet/ unit or building</t>
  </si>
  <si>
    <t># people/ unit or building</t>
  </si>
  <si>
    <t>Columns and Beams</t>
  </si>
  <si>
    <t>Exterior Walls</t>
  </si>
  <si>
    <t>Windows</t>
  </si>
  <si>
    <t>Interior Walls</t>
  </si>
  <si>
    <t>Roofs</t>
  </si>
  <si>
    <t>Buildings Energy Data Book:  7.3 Typical/Average Household</t>
  </si>
  <si>
    <t>Materials Used in the Construction of a 2,272-Square-Foot Single-Family Home, 2000</t>
  </si>
  <si>
    <t>Average Materials in a 2,272-square foot single family home</t>
  </si>
  <si>
    <t>MTCO2e</t>
  </si>
  <si>
    <t>Average GWP  (lbs CO2e/sq ft): Vancouver, Low Rise Building</t>
  </si>
  <si>
    <t>Intermediate Floors</t>
  </si>
  <si>
    <t>Total Embodied Emissions (MTCO2e)</t>
  </si>
  <si>
    <t>Total Embodied Emissions (MTCO2e/ thousand sq feet)</t>
  </si>
  <si>
    <t>Type (Residential) or Principal Activity (Commercial)</t>
  </si>
  <si>
    <t>Health Care Outpatient .................</t>
  </si>
  <si>
    <t>Health Care Inpatient ..................</t>
  </si>
  <si>
    <t>Commercial floorspace per unit</t>
  </si>
  <si>
    <t>See also: NAHB, 2004 Housing Facts, Figures and Trends, Feb. 2004, p. 7.</t>
  </si>
  <si>
    <t>http://buildingsdatabook.eren.doe.gov/?id=view_book_table&amp;TableID=2036&amp;t=xls</t>
  </si>
  <si>
    <t>http://www.athenasmi.ca/tools/ecoCalculator/index.html</t>
  </si>
  <si>
    <t>Athena EcoCalculator</t>
  </si>
  <si>
    <t>Energy Information Administration/Housing Characteristics 1993</t>
  </si>
  <si>
    <t>ftp://ftp.eia.doe.gov/pub/consumption/residential/rx93hcf.pdf</t>
  </si>
  <si>
    <t>Appendix B, Quality of the Data. Pg. 5.</t>
  </si>
  <si>
    <t>Average window size</t>
  </si>
  <si>
    <t>Life span related embodied GHG missions (MTCO2e/ unit)</t>
  </si>
  <si>
    <t>Life span related embodied GHG missions (MTCO2e/ thousand square feet) - See calculations in table below</t>
  </si>
  <si>
    <t>Single Family Homes</t>
  </si>
  <si>
    <t xml:space="preserve">Multi-Family Units in Large and Small Buildings </t>
  </si>
  <si>
    <t>New Housing Construction, 2001</t>
  </si>
  <si>
    <t>Existing Housing Stock, 2001</t>
  </si>
  <si>
    <t>Replacement time:</t>
  </si>
  <si>
    <t>Sources:</t>
  </si>
  <si>
    <t>Quarterly Starts and Completions by Purpose and Design - US and Regions (Excel)</t>
  </si>
  <si>
    <t>http://www.census.gov/const/quarterly_starts_completions_cust.xls</t>
  </si>
  <si>
    <t>See also: http://www.census.gov/const/www/newresconstindex.html</t>
  </si>
  <si>
    <t>Residential Energy Consumption Survey (RECS) 2001</t>
  </si>
  <si>
    <t xml:space="preserve">Tables HC1:Housing Unit Characteristics, Million U.S. Households 2001 </t>
  </si>
  <si>
    <t>Table HC1-4a. Housing Unit Characteristics by Type of Housing Unit, Million U.S. Households, 2001</t>
  </si>
  <si>
    <t>Million U.S. Households, 2001</t>
  </si>
  <si>
    <t>http://www.eia.doe.gov/emeu/recs/recs2001/hc_pdf/housunits/hc1-4a_housingunits2001.pdf</t>
  </si>
  <si>
    <t>See Energy Emissions Worksheet for Calculations</t>
  </si>
  <si>
    <t>(national average, 2001)</t>
  </si>
  <si>
    <t>Note: Single family homes calculation is used for mobile homes as a best estimate life span.</t>
  </si>
  <si>
    <t>Energy Emissions Worksheet</t>
  </si>
  <si>
    <t>Embodied Emissions Worksheet</t>
  </si>
  <si>
    <t>Transportation Emissions Worksheet</t>
  </si>
  <si>
    <t>Definition of Building Types</t>
  </si>
  <si>
    <t>Life-Cycle CO2 Emissions for Various New Vehicles. RENew Northfield.</t>
  </si>
  <si>
    <t>Available: http://renewnorthfield.org/wpcontent/uploads/2006/04/CO2%20emissions.pdf</t>
  </si>
  <si>
    <t>Note: This is a conservative estimate of emissions by fuel consumption because diesel fuel,</t>
  </si>
  <si>
    <t>with a emissions factor of 26.55 lbs CO2e/gallon was not estimated.</t>
  </si>
  <si>
    <t>Note: This analysis combines Multi Unit Structures in both large and small units into one category;</t>
  </si>
  <si>
    <t>the average is used in this case although there is likely a difference</t>
  </si>
  <si>
    <t xml:space="preserve">   In this analysis employees/thousand square feet is calculated by taking the inverse of the CBECS number and multiplying by 1000.</t>
  </si>
  <si>
    <t>Table B2  Totals and Medians of Floorspace, Number of Workers, and Hours of Operation for Non-Mall Buildings, 2003</t>
  </si>
  <si>
    <t>Note: This report states that in 2005, 92.3% of all highway VMT were driven by the above described vehicles.</t>
  </si>
  <si>
    <t>Note: Carbon coefficient in the Energy Data book is in MTCE per Quadrillion Btu.</t>
  </si>
  <si>
    <t xml:space="preserve"> To convert to MTCO2e per million Btu, this factor was divided by 1000 and multiplied by 44/12.</t>
  </si>
  <si>
    <t>Section II: Pavement</t>
  </si>
  <si>
    <t>All Types of Pavement</t>
  </si>
  <si>
    <t>Section I: Buildings</t>
  </si>
  <si>
    <t>MTCO2e/thousand square feet of asphalt or concrete pavement</t>
  </si>
  <si>
    <t>Pavement Emissions Factors</t>
  </si>
  <si>
    <t>Pavement</t>
  </si>
  <si>
    <t xml:space="preserve"> (see below)</t>
  </si>
  <si>
    <t>Total Project Emissions:</t>
  </si>
  <si>
    <t>Square feet per square meter</t>
  </si>
  <si>
    <t>Lbs per kg</t>
  </si>
  <si>
    <t>Athena Assembly Evaluation Tool v2.3- Vancouver Low Rise Building</t>
  </si>
  <si>
    <t>Assembly  Average GWP (kg) per square meter</t>
  </si>
  <si>
    <t># Units</t>
  </si>
  <si>
    <t>Square Feet (in thousands of square feet)</t>
  </si>
  <si>
    <t>Embodied</t>
  </si>
  <si>
    <t>Energy</t>
  </si>
  <si>
    <t>Transportation</t>
  </si>
  <si>
    <t>Lifespan Emissions (MTCO2e)</t>
  </si>
  <si>
    <r>
      <t xml:space="preserve">Emissions </t>
    </r>
    <r>
      <rPr>
        <sz val="10"/>
        <color indexed="12"/>
        <rFont val="Arial"/>
        <family val="2"/>
      </rPr>
      <t>Per Unit</t>
    </r>
    <r>
      <rPr>
        <sz val="10"/>
        <rFont val="Arial"/>
        <family val="2"/>
      </rPr>
      <t xml:space="preserve"> or </t>
    </r>
    <r>
      <rPr>
        <sz val="10"/>
        <color indexed="53"/>
        <rFont val="Arial"/>
        <family val="2"/>
      </rPr>
      <t>Per Thousand Square Feet</t>
    </r>
    <r>
      <rPr>
        <sz val="10"/>
        <rFont val="Arial"/>
        <family val="2"/>
      </rPr>
      <t xml:space="preserve"> (MTCO2e)</t>
    </r>
  </si>
  <si>
    <t>Square footage measurements and comparisons; http://www.eia.doe.gov/emeu/recs/sqft-measure.html</t>
  </si>
  <si>
    <t>Vehicle related GHG emissions</t>
  </si>
  <si>
    <t>Kimpel, T. and Lowe, T. Research Brief No. 47. August 2007; http://www.ofm.wa.gov/researchbriefs/brief047.pdf</t>
  </si>
  <si>
    <t>Data entry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</si>
</sst>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_);_(* \(#,##0\);_(* &quot;-&quot;??_);_(@_)"/>
    <numFmt numFmtId="165" formatCode="_(* #,##0.0_);_(* \(#,##0.0\);_(* &quot;-&quot;??_);_(@_)"/>
    <numFmt numFmtId="166" formatCode="0.0"/>
    <numFmt numFmtId="167" formatCode="@*."/>
    <numFmt numFmtId="168" formatCode="_(* #,##0.000_);_(* \(#,##0.000\);_(* &quot;-&quot;??_);_(@_)"/>
    <numFmt numFmtId="169" formatCode="0.0000"/>
    <numFmt numFmtId="170" formatCode="#,##0.0"/>
  </numFmts>
  <fonts count="36" x14ac:knownFonts="1">
    <font>
      <sz val="10"/>
      <name val="Arial"/>
    </font>
    <font>
      <sz val="10"/>
      <name val="Arial"/>
      <family val="2"/>
    </font>
    <font>
      <sz val="10"/>
      <name val="Helv"/>
    </font>
    <font>
      <sz val="8"/>
      <name val="Arial"/>
      <family val="2"/>
    </font>
    <font>
      <sz val="10"/>
      <name val="Arial"/>
      <family val="2"/>
    </font>
    <font>
      <sz val="10"/>
      <color indexed="12"/>
      <name val="Arial"/>
      <family val="2"/>
    </font>
    <font>
      <sz val="10"/>
      <color indexed="57"/>
      <name val="Arial"/>
      <family val="2"/>
    </font>
    <font>
      <sz val="10"/>
      <color indexed="57"/>
      <name val="Helv"/>
      <family val="2"/>
    </font>
    <font>
      <sz val="10"/>
      <color indexed="57"/>
      <name val="Arial"/>
      <family val="2"/>
    </font>
    <font>
      <b/>
      <sz val="10"/>
      <name val="Arial"/>
      <family val="2"/>
    </font>
    <font>
      <b/>
      <u/>
      <sz val="10"/>
      <name val="Arial"/>
      <family val="2"/>
    </font>
    <font>
      <u/>
      <sz val="10"/>
      <name val="Arial"/>
      <family val="2"/>
    </font>
    <font>
      <sz val="10"/>
      <color indexed="10"/>
      <name val="Arial"/>
      <family val="2"/>
    </font>
    <font>
      <sz val="10"/>
      <color indexed="52"/>
      <name val="Arial"/>
      <family val="2"/>
    </font>
    <font>
      <b/>
      <sz val="10"/>
      <color indexed="52"/>
      <name val="Arial"/>
      <family val="2"/>
    </font>
    <font>
      <sz val="10"/>
      <color indexed="61"/>
      <name val="Arial"/>
      <family val="2"/>
    </font>
    <font>
      <u/>
      <sz val="10"/>
      <color indexed="12"/>
      <name val="Arial"/>
      <family val="2"/>
    </font>
    <font>
      <sz val="10"/>
      <color indexed="53"/>
      <name val="Arial"/>
      <family val="2"/>
    </font>
    <font>
      <sz val="10"/>
      <color indexed="60"/>
      <name val="Arial"/>
      <family val="2"/>
    </font>
    <font>
      <sz val="10"/>
      <color indexed="19"/>
      <name val="Arial"/>
      <family val="2"/>
    </font>
    <font>
      <sz val="10"/>
      <name val="Helv"/>
    </font>
    <font>
      <sz val="10"/>
      <color indexed="12"/>
      <name val="Arial"/>
      <family val="2"/>
    </font>
    <font>
      <sz val="10"/>
      <color indexed="10"/>
      <name val="Arial"/>
      <family val="2"/>
    </font>
    <font>
      <sz val="10"/>
      <color indexed="51"/>
      <name val="Arial"/>
      <family val="2"/>
    </font>
    <font>
      <sz val="10"/>
      <color indexed="12"/>
      <name val="Helv"/>
      <family val="2"/>
    </font>
    <font>
      <b/>
      <sz val="10"/>
      <color indexed="10"/>
      <name val="Arial"/>
      <family val="2"/>
    </font>
    <font>
      <b/>
      <sz val="10"/>
      <color indexed="46"/>
      <name val="Arial"/>
      <family val="2"/>
    </font>
    <font>
      <b/>
      <sz val="10"/>
      <color indexed="15"/>
      <name val="Arial"/>
      <family val="2"/>
    </font>
    <font>
      <sz val="10"/>
      <name val="Arial"/>
      <family val="2"/>
    </font>
    <font>
      <sz val="10"/>
      <color indexed="16"/>
      <name val="Arial"/>
      <family val="2"/>
    </font>
    <font>
      <sz val="10"/>
      <name val="Times New Roman"/>
      <family val="1"/>
    </font>
    <font>
      <u/>
      <sz val="10"/>
      <name val="Times New Roman"/>
      <family val="1"/>
    </font>
    <font>
      <sz val="12"/>
      <name val="Arial"/>
      <family val="2"/>
    </font>
    <font>
      <sz val="10"/>
      <name val="Arial"/>
      <family val="2"/>
    </font>
    <font>
      <sz val="10"/>
      <color indexed="10"/>
      <name val="Arial"/>
      <family val="2"/>
    </font>
    <font>
      <b/>
      <sz val="10"/>
      <color indexed="10"/>
      <name val="Arial"/>
      <family val="2"/>
    </font>
  </fonts>
  <fills count="4">
    <fill>
      <patternFill patternType="none"/>
    </fill>
    <fill>
      <patternFill patternType="gray125"/>
    </fill>
    <fill>
      <patternFill patternType="solid">
        <fgColor indexed="55"/>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cellStyleXfs>
  <cellXfs count="218">
    <xf numFmtId="0" fontId="0" fillId="0" borderId="0" xfId="0"/>
    <xf numFmtId="0" fontId="4" fillId="0" borderId="0" xfId="0" applyFont="1" applyFill="1"/>
    <xf numFmtId="0" fontId="6" fillId="0" borderId="0" xfId="0" applyFont="1" applyBorder="1"/>
    <xf numFmtId="0" fontId="7" fillId="0" borderId="0" xfId="3" applyFont="1" applyBorder="1" applyAlignment="1">
      <alignment horizontal="left"/>
    </xf>
    <xf numFmtId="0" fontId="8" fillId="0" borderId="0" xfId="0" applyFont="1" applyBorder="1" applyAlignment="1">
      <alignment vertical="center" wrapText="1"/>
    </xf>
    <xf numFmtId="165" fontId="4" fillId="0" borderId="1" xfId="0" applyNumberFormat="1" applyFont="1" applyFill="1" applyBorder="1"/>
    <xf numFmtId="0" fontId="10" fillId="0" borderId="0" xfId="0" applyFont="1"/>
    <xf numFmtId="0" fontId="4" fillId="0" borderId="0" xfId="0" applyFont="1"/>
    <xf numFmtId="166" fontId="4" fillId="0" borderId="0" xfId="0" applyNumberFormat="1" applyFont="1"/>
    <xf numFmtId="167" fontId="4" fillId="0" borderId="0" xfId="0" applyNumberFormat="1" applyFont="1"/>
    <xf numFmtId="1" fontId="4" fillId="0" borderId="0" xfId="0" applyNumberFormat="1" applyFont="1"/>
    <xf numFmtId="0" fontId="4" fillId="0" borderId="0" xfId="0" applyFont="1" applyAlignment="1"/>
    <xf numFmtId="0" fontId="4" fillId="0" borderId="0" xfId="0" applyFont="1" applyAlignment="1">
      <alignment vertical="center"/>
    </xf>
    <xf numFmtId="0" fontId="12" fillId="0" borderId="0" xfId="0" applyFont="1"/>
    <xf numFmtId="0" fontId="13" fillId="0" borderId="0" xfId="0" applyFont="1" applyAlignment="1">
      <alignment wrapText="1"/>
    </xf>
    <xf numFmtId="0" fontId="13" fillId="0" borderId="0" xfId="0" applyFont="1" applyAlignment="1">
      <alignment horizontal="left"/>
    </xf>
    <xf numFmtId="0" fontId="13" fillId="0" borderId="0" xfId="0" applyFont="1"/>
    <xf numFmtId="0" fontId="13" fillId="0" borderId="0" xfId="0" applyFont="1" applyAlignment="1">
      <alignment vertical="center"/>
    </xf>
    <xf numFmtId="0" fontId="8" fillId="0" borderId="0" xfId="0" applyFont="1" applyAlignment="1">
      <alignment wrapText="1"/>
    </xf>
    <xf numFmtId="0" fontId="8" fillId="0" borderId="0" xfId="0" applyFont="1"/>
    <xf numFmtId="1" fontId="8" fillId="0" borderId="0" xfId="0" applyNumberFormat="1" applyFont="1"/>
    <xf numFmtId="169" fontId="8" fillId="0" borderId="0" xfId="0" applyNumberFormat="1" applyFont="1"/>
    <xf numFmtId="2" fontId="8" fillId="0" borderId="0" xfId="0" applyNumberFormat="1" applyFont="1"/>
    <xf numFmtId="0" fontId="4" fillId="0" borderId="0" xfId="0" applyNumberFormat="1" applyFont="1"/>
    <xf numFmtId="0" fontId="8" fillId="0" borderId="0" xfId="0" applyFont="1" applyBorder="1" applyAlignment="1">
      <alignment vertical="center"/>
    </xf>
    <xf numFmtId="0" fontId="6" fillId="0" borderId="0" xfId="0" applyFont="1" applyBorder="1" applyAlignment="1">
      <alignment vertical="center"/>
    </xf>
    <xf numFmtId="0" fontId="5" fillId="0" borderId="0" xfId="0" applyFont="1"/>
    <xf numFmtId="0" fontId="15" fillId="0" borderId="0" xfId="0" applyFont="1"/>
    <xf numFmtId="0" fontId="15" fillId="0" borderId="0" xfId="0" applyFont="1" applyBorder="1"/>
    <xf numFmtId="0" fontId="15" fillId="0" borderId="0" xfId="0" applyFont="1" applyBorder="1" applyAlignment="1">
      <alignment vertical="center"/>
    </xf>
    <xf numFmtId="166" fontId="12" fillId="0" borderId="1" xfId="0" applyNumberFormat="1" applyFont="1" applyBorder="1"/>
    <xf numFmtId="166" fontId="8" fillId="0" borderId="1" xfId="0" applyNumberFormat="1" applyFont="1" applyBorder="1"/>
    <xf numFmtId="166" fontId="4" fillId="0" borderId="1" xfId="0" applyNumberFormat="1" applyFont="1" applyBorder="1"/>
    <xf numFmtId="1" fontId="4" fillId="0" borderId="1" xfId="0" applyNumberFormat="1" applyFont="1" applyBorder="1"/>
    <xf numFmtId="167" fontId="4" fillId="0" borderId="1" xfId="0" applyNumberFormat="1" applyFont="1" applyBorder="1"/>
    <xf numFmtId="0" fontId="15" fillId="0" borderId="0" xfId="0" applyFont="1" applyAlignment="1">
      <alignment horizontal="left"/>
    </xf>
    <xf numFmtId="0" fontId="4" fillId="0" borderId="1" xfId="0" applyFont="1" applyBorder="1" applyAlignment="1">
      <alignment horizontal="right" wrapText="1"/>
    </xf>
    <xf numFmtId="0" fontId="5" fillId="0" borderId="0" xfId="0" applyFont="1" applyFill="1" applyBorder="1" applyAlignment="1"/>
    <xf numFmtId="166" fontId="14" fillId="0" borderId="1" xfId="0" applyNumberFormat="1" applyFont="1" applyBorder="1"/>
    <xf numFmtId="166" fontId="14" fillId="0" borderId="1" xfId="0" applyNumberFormat="1" applyFont="1" applyBorder="1" applyAlignment="1">
      <alignment horizontal="right"/>
    </xf>
    <xf numFmtId="168" fontId="13" fillId="0" borderId="1" xfId="0" applyNumberFormat="1" applyFont="1" applyFill="1" applyBorder="1"/>
    <xf numFmtId="165" fontId="5" fillId="0" borderId="1" xfId="0" applyNumberFormat="1" applyFont="1" applyFill="1" applyBorder="1"/>
    <xf numFmtId="0" fontId="18" fillId="0" borderId="0" xfId="0" applyFont="1"/>
    <xf numFmtId="0" fontId="4" fillId="0" borderId="0" xfId="3" applyFont="1" applyFill="1" applyBorder="1"/>
    <xf numFmtId="0" fontId="11" fillId="0" borderId="0" xfId="3" applyFont="1" applyFill="1" applyBorder="1" applyAlignment="1">
      <alignment horizontal="left" wrapText="1"/>
    </xf>
    <xf numFmtId="0" fontId="11" fillId="0" borderId="0" xfId="3" applyFont="1" applyFill="1" applyBorder="1" applyAlignment="1">
      <alignment horizontal="center"/>
    </xf>
    <xf numFmtId="0" fontId="11" fillId="0" borderId="0" xfId="0" applyFont="1" applyFill="1" applyBorder="1" applyAlignment="1">
      <alignment horizontal="center"/>
    </xf>
    <xf numFmtId="0" fontId="4" fillId="0" borderId="0" xfId="3" applyFont="1" applyFill="1" applyBorder="1" applyAlignment="1">
      <alignment wrapText="1"/>
    </xf>
    <xf numFmtId="0" fontId="4" fillId="0" borderId="0" xfId="3" applyFont="1" applyBorder="1"/>
    <xf numFmtId="0" fontId="4" fillId="0" borderId="0" xfId="0" applyFont="1" applyAlignment="1">
      <alignment horizontal="center"/>
    </xf>
    <xf numFmtId="164" fontId="4" fillId="0" borderId="0" xfId="1" applyNumberFormat="1" applyFont="1" applyBorder="1" applyAlignment="1">
      <alignment horizontal="centerContinuous"/>
    </xf>
    <xf numFmtId="168" fontId="13" fillId="0" borderId="1" xfId="3" applyNumberFormat="1" applyFont="1" applyFill="1" applyBorder="1"/>
    <xf numFmtId="43" fontId="5" fillId="0" borderId="1" xfId="1" applyFont="1" applyFill="1" applyBorder="1" applyAlignment="1">
      <alignment horizontal="left"/>
    </xf>
    <xf numFmtId="165" fontId="4" fillId="0" borderId="1" xfId="3" applyNumberFormat="1" applyFont="1" applyFill="1" applyBorder="1"/>
    <xf numFmtId="164" fontId="4" fillId="0" borderId="1" xfId="0" applyNumberFormat="1" applyFont="1" applyFill="1" applyBorder="1"/>
    <xf numFmtId="164" fontId="4" fillId="0" borderId="1" xfId="0" applyNumberFormat="1" applyFont="1" applyBorder="1"/>
    <xf numFmtId="2" fontId="4" fillId="0" borderId="0" xfId="0" applyNumberFormat="1" applyFont="1" applyBorder="1" applyAlignment="1" applyProtection="1">
      <alignment horizontal="center"/>
      <protection locked="0"/>
    </xf>
    <xf numFmtId="2" fontId="4" fillId="0" borderId="0" xfId="0" applyNumberFormat="1" applyFont="1" applyBorder="1" applyAlignment="1" applyProtection="1">
      <protection locked="0"/>
    </xf>
    <xf numFmtId="2" fontId="4" fillId="0" borderId="0" xfId="0" applyNumberFormat="1" applyFont="1" applyBorder="1" applyProtection="1">
      <protection locked="0"/>
    </xf>
    <xf numFmtId="0" fontId="4" fillId="0" borderId="0" xfId="0" applyFont="1" applyBorder="1"/>
    <xf numFmtId="0" fontId="4" fillId="0" borderId="0" xfId="0" applyFont="1" applyBorder="1" applyAlignment="1"/>
    <xf numFmtId="0" fontId="8" fillId="0" borderId="0" xfId="0" applyFont="1" applyBorder="1" applyAlignment="1"/>
    <xf numFmtId="0" fontId="8" fillId="0" borderId="0" xfId="3" applyFont="1" applyBorder="1" applyAlignment="1">
      <alignment horizontal="left"/>
    </xf>
    <xf numFmtId="0" fontId="15" fillId="0" borderId="0" xfId="0" applyFont="1" applyBorder="1" applyAlignment="1"/>
    <xf numFmtId="0" fontId="13" fillId="0" borderId="0" xfId="0" applyFont="1" applyBorder="1" applyAlignment="1" applyProtection="1">
      <alignment horizontal="left"/>
      <protection locked="0"/>
    </xf>
    <xf numFmtId="4" fontId="12" fillId="0" borderId="0" xfId="0" applyNumberFormat="1" applyFont="1" applyAlignment="1">
      <alignment horizontal="right"/>
    </xf>
    <xf numFmtId="165" fontId="15" fillId="0" borderId="1" xfId="0" applyNumberFormat="1" applyFont="1" applyFill="1" applyBorder="1" applyAlignment="1">
      <alignment horizontal="right"/>
    </xf>
    <xf numFmtId="165" fontId="8" fillId="0" borderId="1" xfId="0" applyNumberFormat="1" applyFont="1" applyFill="1" applyBorder="1" applyAlignment="1">
      <alignment horizontal="right"/>
    </xf>
    <xf numFmtId="0" fontId="4" fillId="0" borderId="0" xfId="0" applyFont="1" applyFill="1" applyBorder="1" applyAlignment="1">
      <alignment horizontal="center" wrapText="1"/>
    </xf>
    <xf numFmtId="166" fontId="4" fillId="0" borderId="0" xfId="0" applyNumberFormat="1" applyFont="1" applyFill="1" applyAlignment="1">
      <alignment horizontal="right"/>
    </xf>
    <xf numFmtId="167" fontId="4" fillId="0" borderId="0" xfId="0" applyNumberFormat="1" applyFont="1" applyFill="1" applyBorder="1"/>
    <xf numFmtId="0" fontId="5" fillId="0" borderId="0" xfId="3" applyFont="1" applyFill="1" applyBorder="1" applyAlignment="1"/>
    <xf numFmtId="0" fontId="5" fillId="0" borderId="0" xfId="3" applyFont="1" applyFill="1" applyBorder="1" applyAlignment="1">
      <alignment horizontal="left"/>
    </xf>
    <xf numFmtId="0" fontId="13" fillId="0" borderId="0" xfId="3" applyFont="1" applyFill="1" applyBorder="1" applyAlignment="1">
      <alignment horizontal="left"/>
    </xf>
    <xf numFmtId="0" fontId="17" fillId="0" borderId="0" xfId="3" applyFont="1" applyFill="1" applyBorder="1" applyAlignment="1">
      <alignment horizontal="left"/>
    </xf>
    <xf numFmtId="0" fontId="17" fillId="0" borderId="0" xfId="0" applyFont="1" applyFill="1" applyBorder="1" applyAlignment="1"/>
    <xf numFmtId="0" fontId="12" fillId="0" borderId="0" xfId="3" applyFont="1" applyFill="1" applyBorder="1" applyAlignment="1">
      <alignment horizontal="left"/>
    </xf>
    <xf numFmtId="0" fontId="4" fillId="0" borderId="0" xfId="3" applyFont="1" applyBorder="1" applyAlignment="1">
      <alignment horizontal="left"/>
    </xf>
    <xf numFmtId="0" fontId="9" fillId="0" borderId="0" xfId="0" applyFont="1" applyFill="1" applyBorder="1" applyAlignment="1">
      <alignment horizontal="center" wrapText="1"/>
    </xf>
    <xf numFmtId="0" fontId="4" fillId="0" borderId="1" xfId="3" applyFont="1" applyBorder="1" applyAlignment="1">
      <alignment horizontal="right" wrapText="1"/>
    </xf>
    <xf numFmtId="0" fontId="4" fillId="0" borderId="1" xfId="3" applyFont="1" applyFill="1" applyBorder="1" applyAlignment="1">
      <alignment horizontal="right" wrapText="1"/>
    </xf>
    <xf numFmtId="0" fontId="4" fillId="0" borderId="1" xfId="0" applyFont="1" applyFill="1" applyBorder="1" applyAlignment="1">
      <alignment horizontal="right" wrapText="1"/>
    </xf>
    <xf numFmtId="0" fontId="4"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left" wrapText="1"/>
    </xf>
    <xf numFmtId="0" fontId="5"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xf>
    <xf numFmtId="0" fontId="12" fillId="0" borderId="0" xfId="0" applyFont="1" applyAlignment="1">
      <alignment horizontal="left"/>
    </xf>
    <xf numFmtId="165" fontId="15" fillId="0" borderId="1" xfId="1" applyNumberFormat="1" applyFont="1" applyFill="1" applyBorder="1" applyAlignment="1">
      <alignment horizontal="left"/>
    </xf>
    <xf numFmtId="167" fontId="4" fillId="0" borderId="1" xfId="0" applyNumberFormat="1" applyFont="1" applyFill="1" applyBorder="1"/>
    <xf numFmtId="0" fontId="19" fillId="0" borderId="0" xfId="3" applyFont="1" applyFill="1" applyBorder="1" applyAlignment="1">
      <alignment horizontal="left"/>
    </xf>
    <xf numFmtId="0" fontId="19" fillId="0" borderId="0" xfId="0" applyFont="1" applyAlignment="1">
      <alignment horizontal="left"/>
    </xf>
    <xf numFmtId="0" fontId="0" fillId="0" borderId="0" xfId="0" applyAlignment="1"/>
    <xf numFmtId="0" fontId="2" fillId="0" borderId="0" xfId="3" applyFont="1" applyFill="1" applyBorder="1" applyAlignment="1"/>
    <xf numFmtId="0" fontId="0" fillId="0" borderId="0" xfId="0" applyFill="1" applyAlignment="1"/>
    <xf numFmtId="167" fontId="11" fillId="0" borderId="0" xfId="0" applyNumberFormat="1" applyFont="1" applyFill="1" applyBorder="1" applyAlignment="1">
      <alignment wrapText="1"/>
    </xf>
    <xf numFmtId="4" fontId="19" fillId="0" borderId="1" xfId="0" applyNumberFormat="1" applyFont="1" applyBorder="1" applyAlignment="1">
      <alignment horizontal="right"/>
    </xf>
    <xf numFmtId="0" fontId="15" fillId="0" borderId="0" xfId="0" applyFont="1" applyAlignment="1">
      <alignment wrapText="1"/>
    </xf>
    <xf numFmtId="166" fontId="4" fillId="0" borderId="1" xfId="0" applyNumberFormat="1" applyFont="1" applyBorder="1" applyAlignment="1">
      <alignment horizontal="right" wrapText="1"/>
    </xf>
    <xf numFmtId="166" fontId="4" fillId="0" borderId="1" xfId="0" applyNumberFormat="1" applyFont="1" applyBorder="1" applyAlignment="1">
      <alignment horizontal="right"/>
    </xf>
    <xf numFmtId="166" fontId="4" fillId="0" borderId="0" xfId="0" applyNumberFormat="1" applyFont="1" applyBorder="1"/>
    <xf numFmtId="166" fontId="4" fillId="0" borderId="0" xfId="0" applyNumberFormat="1" applyFont="1" applyBorder="1" applyAlignment="1">
      <alignment horizontal="right"/>
    </xf>
    <xf numFmtId="3" fontId="4" fillId="0" borderId="1" xfId="0" applyNumberFormat="1" applyFont="1" applyBorder="1" applyAlignment="1">
      <alignment horizontal="right"/>
    </xf>
    <xf numFmtId="4" fontId="19" fillId="0" borderId="0" xfId="0" applyNumberFormat="1" applyFont="1" applyFill="1" applyAlignment="1">
      <alignment horizontal="right"/>
    </xf>
    <xf numFmtId="167" fontId="20" fillId="0" borderId="1" xfId="3" applyNumberFormat="1" applyFont="1" applyFill="1" applyBorder="1" applyAlignment="1">
      <alignment wrapText="1"/>
    </xf>
    <xf numFmtId="4" fontId="12" fillId="0" borderId="1" xfId="0" applyNumberFormat="1" applyFont="1" applyBorder="1" applyAlignment="1">
      <alignment horizontal="right"/>
    </xf>
    <xf numFmtId="0" fontId="19" fillId="0" borderId="0" xfId="0" applyFont="1" applyBorder="1" applyAlignment="1">
      <alignment horizontal="left" wrapText="1"/>
    </xf>
    <xf numFmtId="166" fontId="9" fillId="0" borderId="0" xfId="0" applyNumberFormat="1" applyFont="1" applyBorder="1" applyAlignment="1">
      <alignment horizontal="right"/>
    </xf>
    <xf numFmtId="166" fontId="9" fillId="0" borderId="0" xfId="0" applyNumberFormat="1" applyFont="1" applyBorder="1"/>
    <xf numFmtId="0" fontId="8" fillId="0" borderId="0" xfId="0" applyFont="1" applyBorder="1"/>
    <xf numFmtId="166" fontId="12" fillId="0" borderId="1" xfId="0" applyNumberFormat="1" applyFont="1" applyFill="1" applyBorder="1" applyAlignment="1">
      <alignment horizontal="right" wrapText="1"/>
    </xf>
    <xf numFmtId="166" fontId="12" fillId="0" borderId="1" xfId="0" applyNumberFormat="1" applyFont="1" applyBorder="1" applyAlignment="1">
      <alignment horizontal="right"/>
    </xf>
    <xf numFmtId="166" fontId="12" fillId="0" borderId="1" xfId="0" applyNumberFormat="1" applyFont="1" applyBorder="1" applyAlignment="1">
      <alignment horizontal="right" wrapText="1"/>
    </xf>
    <xf numFmtId="166" fontId="23" fillId="0" borderId="1" xfId="0" applyNumberFormat="1" applyFont="1" applyBorder="1" applyAlignment="1">
      <alignment horizontal="right"/>
    </xf>
    <xf numFmtId="166" fontId="5" fillId="0" borderId="1" xfId="0" applyNumberFormat="1" applyFont="1" applyBorder="1" applyAlignment="1">
      <alignment horizontal="right" wrapText="1"/>
    </xf>
    <xf numFmtId="0" fontId="5" fillId="0" borderId="0" xfId="0" applyFont="1" applyBorder="1" applyAlignment="1">
      <alignment wrapText="1"/>
    </xf>
    <xf numFmtId="0" fontId="5" fillId="0" borderId="0" xfId="0" applyFont="1" applyBorder="1" applyAlignment="1"/>
    <xf numFmtId="0" fontId="12" fillId="0" borderId="0" xfId="0" applyFont="1" applyBorder="1" applyAlignment="1">
      <alignment wrapText="1"/>
    </xf>
    <xf numFmtId="0" fontId="12" fillId="0" borderId="0" xfId="0" applyFont="1" applyBorder="1" applyAlignment="1"/>
    <xf numFmtId="0" fontId="23" fillId="0" borderId="0" xfId="0" applyFont="1" applyBorder="1" applyAlignment="1"/>
    <xf numFmtId="0" fontId="23" fillId="0" borderId="0" xfId="0" applyFont="1"/>
    <xf numFmtId="0" fontId="9" fillId="0" borderId="1" xfId="0" applyFont="1" applyBorder="1" applyAlignment="1">
      <alignment wrapText="1"/>
    </xf>
    <xf numFmtId="167" fontId="24" fillId="0" borderId="1" xfId="3" applyNumberFormat="1" applyFont="1" applyFill="1" applyBorder="1" applyAlignment="1">
      <alignment wrapText="1"/>
    </xf>
    <xf numFmtId="0" fontId="21" fillId="0" borderId="1" xfId="0" applyFont="1" applyBorder="1" applyAlignment="1">
      <alignment wrapText="1"/>
    </xf>
    <xf numFmtId="0" fontId="21" fillId="0" borderId="0" xfId="0" applyFont="1" applyAlignment="1"/>
    <xf numFmtId="0" fontId="21" fillId="0" borderId="0" xfId="3" applyFont="1" applyFill="1" applyBorder="1" applyAlignment="1">
      <alignment horizontal="left"/>
    </xf>
    <xf numFmtId="167" fontId="12" fillId="0" borderId="1" xfId="0" applyNumberFormat="1" applyFont="1" applyFill="1" applyBorder="1" applyAlignment="1">
      <alignment wrapText="1"/>
    </xf>
    <xf numFmtId="0" fontId="12" fillId="0" borderId="1" xfId="0" applyFont="1" applyBorder="1" applyAlignment="1">
      <alignment wrapText="1"/>
    </xf>
    <xf numFmtId="167" fontId="12" fillId="0" borderId="1" xfId="0" applyNumberFormat="1" applyFont="1" applyBorder="1"/>
    <xf numFmtId="0" fontId="22" fillId="0" borderId="0" xfId="0" applyFont="1" applyAlignment="1"/>
    <xf numFmtId="0" fontId="22" fillId="0" borderId="0" xfId="0" applyFont="1"/>
    <xf numFmtId="0" fontId="4" fillId="0" borderId="0" xfId="0" applyFont="1" applyAlignment="1">
      <alignment horizontal="right"/>
    </xf>
    <xf numFmtId="0" fontId="4" fillId="0" borderId="1" xfId="0" applyNumberFormat="1" applyFont="1" applyBorder="1" applyAlignment="1">
      <alignment horizontal="right"/>
    </xf>
    <xf numFmtId="0" fontId="4" fillId="0" borderId="1" xfId="0" applyNumberFormat="1" applyFont="1" applyBorder="1" applyAlignment="1">
      <alignment horizontal="right" vertical="center" wrapText="1"/>
    </xf>
    <xf numFmtId="0" fontId="4" fillId="0" borderId="1" xfId="3" applyNumberFormat="1" applyFont="1" applyFill="1" applyBorder="1" applyAlignment="1">
      <alignment horizontal="right" wrapText="1"/>
    </xf>
    <xf numFmtId="0" fontId="4" fillId="0" borderId="1" xfId="0" applyNumberFormat="1" applyFont="1" applyBorder="1" applyAlignment="1">
      <alignment horizontal="right" wrapText="1"/>
    </xf>
    <xf numFmtId="0" fontId="11" fillId="0" borderId="0" xfId="0" applyFont="1" applyAlignment="1">
      <alignment horizontal="right"/>
    </xf>
    <xf numFmtId="0" fontId="26" fillId="0" borderId="0" xfId="0" applyNumberFormat="1" applyFont="1" applyBorder="1" applyAlignment="1">
      <alignment horizontal="right" wrapText="1"/>
    </xf>
    <xf numFmtId="0" fontId="26" fillId="0" borderId="0" xfId="0" applyFont="1" applyBorder="1" applyAlignment="1">
      <alignment horizontal="left"/>
    </xf>
    <xf numFmtId="0" fontId="4" fillId="0" borderId="0" xfId="0" applyFont="1" applyBorder="1" applyAlignment="1">
      <alignment horizontal="right"/>
    </xf>
    <xf numFmtId="0" fontId="26" fillId="0" borderId="0" xfId="0" applyFont="1" applyBorder="1" applyAlignment="1">
      <alignment horizontal="right"/>
    </xf>
    <xf numFmtId="0" fontId="27" fillId="0" borderId="0" xfId="0" applyFont="1" applyBorder="1" applyAlignment="1">
      <alignment horizontal="right" wrapText="1"/>
    </xf>
    <xf numFmtId="0" fontId="27" fillId="0" borderId="0" xfId="0" applyFont="1" applyBorder="1"/>
    <xf numFmtId="0" fontId="27" fillId="0" borderId="0" xfId="0" applyFont="1" applyBorder="1" applyAlignment="1">
      <alignment horizontal="right"/>
    </xf>
    <xf numFmtId="0" fontId="27" fillId="0" borderId="0" xfId="0" applyFont="1" applyBorder="1" applyAlignment="1">
      <alignment horizontal="left"/>
    </xf>
    <xf numFmtId="166" fontId="18" fillId="0" borderId="1" xfId="0" applyNumberFormat="1" applyFont="1" applyFill="1" applyBorder="1"/>
    <xf numFmtId="0" fontId="18" fillId="0" borderId="0" xfId="0" applyFont="1" applyAlignment="1">
      <alignment horizontal="right" wrapText="1"/>
    </xf>
    <xf numFmtId="166" fontId="18" fillId="0" borderId="1" xfId="0" applyNumberFormat="1" applyFont="1" applyBorder="1" applyAlignment="1">
      <alignment horizontal="right"/>
    </xf>
    <xf numFmtId="0" fontId="18" fillId="0" borderId="0" xfId="0" applyFont="1" applyAlignment="1">
      <alignment horizontal="left" wrapText="1"/>
    </xf>
    <xf numFmtId="3" fontId="26" fillId="0" borderId="1" xfId="0" applyNumberFormat="1" applyFont="1" applyBorder="1" applyAlignment="1">
      <alignment horizontal="right"/>
    </xf>
    <xf numFmtId="3" fontId="27" fillId="0" borderId="1" xfId="0" applyNumberFormat="1" applyFont="1" applyBorder="1" applyAlignment="1">
      <alignment horizontal="right"/>
    </xf>
    <xf numFmtId="3" fontId="27" fillId="0" borderId="2" xfId="0" applyNumberFormat="1" applyFont="1" applyBorder="1" applyAlignment="1">
      <alignment horizontal="right"/>
    </xf>
    <xf numFmtId="3" fontId="26" fillId="0" borderId="3" xfId="0" applyNumberFormat="1" applyFont="1" applyBorder="1"/>
    <xf numFmtId="166" fontId="29" fillId="0" borderId="4" xfId="0" applyNumberFormat="1" applyFont="1" applyBorder="1"/>
    <xf numFmtId="0" fontId="4" fillId="0" borderId="0" xfId="0" applyFont="1" applyFill="1" applyBorder="1" applyAlignment="1">
      <alignment horizontal="left"/>
    </xf>
    <xf numFmtId="170" fontId="29" fillId="0" borderId="1" xfId="0" applyNumberFormat="1" applyFont="1" applyBorder="1" applyAlignment="1">
      <alignment horizontal="right"/>
    </xf>
    <xf numFmtId="0" fontId="1" fillId="0" borderId="1" xfId="0" applyFont="1" applyBorder="1" applyAlignment="1">
      <alignment horizontal="right" wrapText="1"/>
    </xf>
    <xf numFmtId="0" fontId="28" fillId="0" borderId="1" xfId="0" applyFont="1" applyBorder="1" applyAlignment="1">
      <alignment horizontal="right" wrapText="1"/>
    </xf>
    <xf numFmtId="2" fontId="1" fillId="0" borderId="1" xfId="0" applyNumberFormat="1" applyFont="1" applyBorder="1" applyAlignment="1">
      <alignment horizontal="right" wrapText="1"/>
    </xf>
    <xf numFmtId="3" fontId="8" fillId="0" borderId="0" xfId="0" applyNumberFormat="1" applyFont="1"/>
    <xf numFmtId="4" fontId="19" fillId="0" borderId="1" xfId="0" applyNumberFormat="1" applyFont="1" applyFill="1" applyBorder="1" applyAlignment="1">
      <alignment horizontal="right"/>
    </xf>
    <xf numFmtId="0" fontId="12" fillId="0" borderId="0" xfId="0" applyFont="1" applyBorder="1" applyAlignment="1">
      <alignment horizontal="left" wrapText="1"/>
    </xf>
    <xf numFmtId="0" fontId="11" fillId="0" borderId="0" xfId="3" applyFont="1" applyFill="1" applyBorder="1"/>
    <xf numFmtId="3" fontId="0" fillId="2" borderId="1" xfId="0" applyNumberFormat="1" applyFill="1" applyBorder="1"/>
    <xf numFmtId="0" fontId="9" fillId="0" borderId="0" xfId="0" applyFont="1"/>
    <xf numFmtId="167" fontId="9" fillId="0" borderId="0" xfId="0" applyNumberFormat="1" applyFont="1" applyFill="1" applyBorder="1"/>
    <xf numFmtId="0" fontId="30" fillId="0" borderId="0" xfId="0" applyFont="1" applyAlignment="1">
      <alignment horizontal="left" indent="2"/>
    </xf>
    <xf numFmtId="0" fontId="31" fillId="0" borderId="0" xfId="0" applyFont="1" applyAlignment="1">
      <alignment horizontal="left" indent="2"/>
    </xf>
    <xf numFmtId="167" fontId="4" fillId="0" borderId="0" xfId="0" applyNumberFormat="1" applyFont="1" applyBorder="1"/>
    <xf numFmtId="165" fontId="8" fillId="0" borderId="0" xfId="0" applyNumberFormat="1" applyFont="1" applyFill="1" applyBorder="1" applyAlignment="1">
      <alignment horizontal="right"/>
    </xf>
    <xf numFmtId="3" fontId="4" fillId="0" borderId="0" xfId="0" applyNumberFormat="1" applyFont="1" applyBorder="1" applyAlignment="1">
      <alignment horizontal="right"/>
    </xf>
    <xf numFmtId="1" fontId="4" fillId="0" borderId="0" xfId="0" applyNumberFormat="1" applyFont="1" applyBorder="1"/>
    <xf numFmtId="1" fontId="26" fillId="0" borderId="1" xfId="0" applyNumberFormat="1" applyFont="1" applyBorder="1"/>
    <xf numFmtId="0" fontId="26" fillId="0" borderId="0" xfId="0" applyFont="1"/>
    <xf numFmtId="0" fontId="26" fillId="0" borderId="0" xfId="0" applyFont="1" applyAlignment="1">
      <alignment wrapText="1"/>
    </xf>
    <xf numFmtId="0" fontId="16" fillId="0" borderId="0" xfId="2" applyAlignment="1" applyProtection="1">
      <alignment horizontal="left" indent="2"/>
    </xf>
    <xf numFmtId="2" fontId="5" fillId="0" borderId="0" xfId="0" applyNumberFormat="1" applyFont="1"/>
    <xf numFmtId="0" fontId="0" fillId="0" borderId="0" xfId="0" applyFill="1"/>
    <xf numFmtId="3" fontId="0" fillId="0" borderId="0" xfId="0" applyNumberFormat="1" applyFill="1"/>
    <xf numFmtId="0" fontId="6" fillId="0" borderId="0" xfId="0" applyFont="1" applyAlignment="1">
      <alignment wrapText="1"/>
    </xf>
    <xf numFmtId="0" fontId="0" fillId="0" borderId="0" xfId="0" applyProtection="1">
      <protection locked="0"/>
    </xf>
    <xf numFmtId="0" fontId="9" fillId="0" borderId="0" xfId="0" applyFont="1" applyProtection="1">
      <protection locked="0"/>
    </xf>
    <xf numFmtId="0" fontId="0" fillId="0" borderId="0" xfId="0"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right" wrapText="1"/>
      <protection locked="0"/>
    </xf>
    <xf numFmtId="0" fontId="33" fillId="0" borderId="1" xfId="0" applyFont="1" applyBorder="1" applyAlignment="1" applyProtection="1">
      <alignment horizontal="center" wrapText="1"/>
      <protection locked="0"/>
    </xf>
    <xf numFmtId="0" fontId="25" fillId="0" borderId="1" xfId="0" applyFont="1" applyBorder="1" applyAlignment="1" applyProtection="1">
      <alignment horizontal="center" wrapText="1"/>
      <protection locked="0"/>
    </xf>
    <xf numFmtId="3" fontId="33" fillId="2" borderId="1" xfId="0" applyNumberFormat="1" applyFont="1" applyFill="1" applyBorder="1" applyProtection="1">
      <protection locked="0"/>
    </xf>
    <xf numFmtId="3" fontId="0" fillId="2" borderId="1" xfId="0" applyNumberFormat="1" applyFill="1" applyBorder="1" applyProtection="1">
      <protection locked="0"/>
    </xf>
    <xf numFmtId="0" fontId="33" fillId="0" borderId="0" xfId="0" applyFont="1" applyProtection="1">
      <protection locked="0"/>
    </xf>
    <xf numFmtId="167" fontId="9" fillId="0" borderId="0" xfId="0" applyNumberFormat="1" applyFont="1" applyFill="1" applyBorder="1" applyProtection="1">
      <protection locked="0"/>
    </xf>
    <xf numFmtId="4" fontId="33" fillId="0" borderId="1" xfId="0" applyNumberFormat="1" applyFont="1" applyBorder="1" applyAlignment="1" applyProtection="1">
      <alignment horizontal="right"/>
      <protection locked="0"/>
    </xf>
    <xf numFmtId="0" fontId="4" fillId="0" borderId="0" xfId="0" applyNumberFormat="1" applyFont="1" applyFill="1" applyBorder="1" applyProtection="1">
      <protection locked="0"/>
    </xf>
    <xf numFmtId="0" fontId="34" fillId="0" borderId="0" xfId="0" applyFont="1" applyProtection="1">
      <protection locked="0"/>
    </xf>
    <xf numFmtId="0" fontId="35" fillId="0" borderId="0" xfId="0" applyFont="1" applyAlignment="1" applyProtection="1">
      <alignment horizontal="right"/>
      <protection locked="0"/>
    </xf>
    <xf numFmtId="0" fontId="32" fillId="0" borderId="0" xfId="0" applyFont="1" applyAlignment="1" applyProtection="1">
      <alignment horizontal="left" indent="1"/>
      <protection locked="0"/>
    </xf>
    <xf numFmtId="0" fontId="32" fillId="0" borderId="0" xfId="0" applyFont="1" applyAlignment="1" applyProtection="1">
      <alignment horizontal="left" indent="2"/>
      <protection locked="0"/>
    </xf>
    <xf numFmtId="0" fontId="32" fillId="0" borderId="0" xfId="0" applyFont="1" applyProtection="1">
      <protection locked="0"/>
    </xf>
    <xf numFmtId="3" fontId="5" fillId="0" borderId="1" xfId="0" applyNumberFormat="1" applyFont="1" applyFill="1" applyBorder="1" applyProtection="1"/>
    <xf numFmtId="1" fontId="25" fillId="0" borderId="1" xfId="0" applyNumberFormat="1" applyFont="1" applyBorder="1" applyProtection="1"/>
    <xf numFmtId="3" fontId="17" fillId="0" borderId="1" xfId="0" applyNumberFormat="1" applyFont="1" applyFill="1" applyBorder="1" applyProtection="1"/>
    <xf numFmtId="3" fontId="17" fillId="0" borderId="1" xfId="0" applyNumberFormat="1" applyFont="1" applyBorder="1" applyAlignment="1" applyProtection="1">
      <alignment horizontal="right"/>
    </xf>
    <xf numFmtId="0" fontId="33" fillId="0" borderId="0" xfId="0" applyFont="1" applyProtection="1"/>
    <xf numFmtId="0" fontId="0" fillId="0" borderId="0" xfId="0" applyProtection="1"/>
    <xf numFmtId="3" fontId="0" fillId="2" borderId="1" xfId="0" applyNumberFormat="1" applyFill="1" applyBorder="1" applyProtection="1"/>
    <xf numFmtId="0" fontId="35" fillId="0" borderId="0" xfId="0" applyFont="1" applyAlignment="1" applyProtection="1">
      <alignment horizontal="right"/>
    </xf>
    <xf numFmtId="1" fontId="35" fillId="0" borderId="1" xfId="0" applyNumberFormat="1" applyFont="1" applyBorder="1" applyProtection="1"/>
    <xf numFmtId="167" fontId="20" fillId="0" borderId="1" xfId="3" applyNumberFormat="1" applyFont="1" applyFill="1" applyBorder="1" applyAlignment="1" applyProtection="1">
      <alignment wrapText="1"/>
    </xf>
    <xf numFmtId="167" fontId="4" fillId="0" borderId="1" xfId="0" applyNumberFormat="1" applyFont="1" applyBorder="1" applyProtection="1"/>
    <xf numFmtId="167" fontId="9" fillId="0" borderId="0" xfId="0" applyNumberFormat="1" applyFont="1" applyFill="1" applyBorder="1" applyProtection="1"/>
    <xf numFmtId="0" fontId="33" fillId="3" borderId="1" xfId="3" applyNumberFormat="1" applyFont="1" applyFill="1" applyBorder="1" applyAlignment="1" applyProtection="1">
      <alignment horizontal="right" wrapText="1"/>
      <protection locked="0"/>
    </xf>
    <xf numFmtId="170" fontId="33" fillId="3" borderId="1" xfId="0" applyNumberFormat="1" applyFont="1" applyFill="1" applyBorder="1" applyAlignment="1" applyProtection="1">
      <alignment horizontal="right"/>
      <protection locked="0"/>
    </xf>
    <xf numFmtId="0" fontId="33" fillId="3" borderId="0" xfId="0" applyNumberFormat="1" applyFont="1" applyFill="1" applyBorder="1" applyProtection="1">
      <protection locked="0"/>
    </xf>
    <xf numFmtId="0" fontId="0" fillId="0" borderId="1" xfId="0" applyBorder="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lignment horizontal="center"/>
    </xf>
  </cellXfs>
  <cellStyles count="4">
    <cellStyle name="Comma" xfId="1" builtinId="3"/>
    <cellStyle name="Hyperlink" xfId="2" builtinId="8"/>
    <cellStyle name="Normal" xfId="0" builtinId="0"/>
    <cellStyle name="Normal_Output" xfId="3"/>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0</xdr:row>
      <xdr:rowOff>47625</xdr:rowOff>
    </xdr:from>
    <xdr:to>
      <xdr:col>7</xdr:col>
      <xdr:colOff>495300</xdr:colOff>
      <xdr:row>0</xdr:row>
      <xdr:rowOff>1103630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7625"/>
          <a:ext cx="6858000" cy="10560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3914775</xdr:colOff>
      <xdr:row>0</xdr:row>
      <xdr:rowOff>1056005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6858000" cy="10560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1095375</xdr:colOff>
          <xdr:row>63</xdr:row>
          <xdr:rowOff>85725</xdr:rowOff>
        </xdr:from>
        <xdr:to>
          <xdr:col>13</xdr:col>
          <xdr:colOff>495300</xdr:colOff>
          <xdr:row>122</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63</xdr:row>
          <xdr:rowOff>66675</xdr:rowOff>
        </xdr:from>
        <xdr:to>
          <xdr:col>3</xdr:col>
          <xdr:colOff>809625</xdr:colOff>
          <xdr:row>120</xdr:row>
          <xdr:rowOff>152400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70</xdr:row>
          <xdr:rowOff>66675</xdr:rowOff>
        </xdr:from>
        <xdr:to>
          <xdr:col>8</xdr:col>
          <xdr:colOff>485775</xdr:colOff>
          <xdr:row>95</xdr:row>
          <xdr:rowOff>47625</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74</xdr:row>
          <xdr:rowOff>38100</xdr:rowOff>
        </xdr:from>
        <xdr:to>
          <xdr:col>6</xdr:col>
          <xdr:colOff>628650</xdr:colOff>
          <xdr:row>84</xdr:row>
          <xdr:rowOff>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oleObject" Target="../embeddings/Microsoft_Word_97_-_2003_Document.doc"/><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image" Target="../media/image5.emf"/><Relationship Id="rId5" Type="http://schemas.openxmlformats.org/officeDocument/2006/relationships/oleObject" Target="../embeddings/Microsoft_Word_97_-_2003_Document2.doc"/><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image" Target="../media/image6.emf"/><Relationship Id="rId5" Type="http://schemas.openxmlformats.org/officeDocument/2006/relationships/oleObject" Target="../embeddings/Microsoft_Word_97_-_2003_Document3.doc"/><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Normal="100" workbookViewId="0">
      <selection activeCell="D43" sqref="D43"/>
    </sheetView>
  </sheetViews>
  <sheetFormatPr defaultColWidth="8.85546875" defaultRowHeight="12.75" x14ac:dyDescent="0.2"/>
  <cols>
    <col min="1" max="1" width="2.42578125" style="181" customWidth="1"/>
    <col min="2" max="2" width="32.140625" style="181" customWidth="1"/>
    <col min="3" max="3" width="12.42578125" style="181" customWidth="1"/>
    <col min="4" max="7" width="13.5703125" style="181" customWidth="1"/>
    <col min="8" max="8" width="10.42578125" style="181" customWidth="1"/>
    <col min="9" max="9" width="16.140625" customWidth="1"/>
    <col min="10" max="10" width="15.140625" customWidth="1"/>
    <col min="11" max="11" width="13.85546875" customWidth="1"/>
    <col min="12" max="12" width="16.42578125" customWidth="1"/>
    <col min="13" max="13" width="11.140625" customWidth="1"/>
    <col min="14" max="15" width="11.42578125" customWidth="1"/>
  </cols>
  <sheetData>
    <row r="1" spans="2:9" ht="93" customHeight="1" x14ac:dyDescent="0.2">
      <c r="B1" s="216"/>
      <c r="C1" s="216"/>
      <c r="D1" s="216"/>
      <c r="E1" s="216"/>
      <c r="F1" s="216"/>
      <c r="G1" s="216"/>
      <c r="H1" s="216"/>
    </row>
    <row r="2" spans="2:9" x14ac:dyDescent="0.2">
      <c r="B2" s="182" t="s">
        <v>173</v>
      </c>
      <c r="C2" s="182"/>
    </row>
    <row r="3" spans="2:9" ht="28.5" customHeight="1" x14ac:dyDescent="0.2">
      <c r="D3" s="183"/>
      <c r="E3" s="215" t="s">
        <v>189</v>
      </c>
      <c r="F3" s="215"/>
      <c r="G3" s="215"/>
      <c r="H3" s="184"/>
    </row>
    <row r="4" spans="2:9" ht="38.25" x14ac:dyDescent="0.2">
      <c r="B4" s="185" t="s">
        <v>125</v>
      </c>
      <c r="C4" s="186" t="s">
        <v>183</v>
      </c>
      <c r="D4" s="187" t="s">
        <v>184</v>
      </c>
      <c r="E4" s="187" t="s">
        <v>185</v>
      </c>
      <c r="F4" s="187" t="s">
        <v>186</v>
      </c>
      <c r="G4" s="187" t="s">
        <v>187</v>
      </c>
      <c r="H4" s="188" t="s">
        <v>188</v>
      </c>
      <c r="I4" s="178"/>
    </row>
    <row r="5" spans="2:9" x14ac:dyDescent="0.2">
      <c r="B5" s="209" t="s">
        <v>58</v>
      </c>
      <c r="C5" s="212">
        <v>0</v>
      </c>
      <c r="D5" s="189"/>
      <c r="E5" s="200">
        <f>'Embodied Emissions'!D5</f>
        <v>97.834375830972988</v>
      </c>
      <c r="F5" s="200">
        <f>+'Energy Emissions'!J4</f>
        <v>672.17049649122794</v>
      </c>
      <c r="G5" s="200">
        <f>+'Transportation Emissions'!J3</f>
        <v>791.83422399282404</v>
      </c>
      <c r="H5" s="201">
        <f>C5*SUM('Embodied Emissions'!D5+'Energy Emissions'!J4+'Transportation Emissions'!J3)</f>
        <v>0</v>
      </c>
      <c r="I5" s="178"/>
    </row>
    <row r="6" spans="2:9" x14ac:dyDescent="0.2">
      <c r="B6" s="209" t="s">
        <v>83</v>
      </c>
      <c r="C6" s="212">
        <v>0</v>
      </c>
      <c r="D6" s="189"/>
      <c r="E6" s="200">
        <f>'Embodied Emissions'!D6</f>
        <v>32.792131511212553</v>
      </c>
      <c r="F6" s="200">
        <f>+'Energy Emissions'!J5</f>
        <v>357.33410840932117</v>
      </c>
      <c r="G6" s="200">
        <f>+'Transportation Emissions'!J4</f>
        <v>765.56819183874291</v>
      </c>
      <c r="H6" s="201">
        <f>C6*SUM('Embodied Emissions'!D6+'Energy Emissions'!J5+'Transportation Emissions'!J4)</f>
        <v>0</v>
      </c>
      <c r="I6" s="178"/>
    </row>
    <row r="7" spans="2:9" x14ac:dyDescent="0.2">
      <c r="B7" s="209" t="s">
        <v>85</v>
      </c>
      <c r="C7" s="212">
        <v>0</v>
      </c>
      <c r="D7" s="189"/>
      <c r="E7" s="200">
        <f>'Embodied Emissions'!D7</f>
        <v>53.930860915134694</v>
      </c>
      <c r="F7" s="200">
        <f>+'Energy Emissions'!J6</f>
        <v>680.67789918946301</v>
      </c>
      <c r="G7" s="200">
        <f>+'Transportation Emissions'!J5</f>
        <v>765.56819183874291</v>
      </c>
      <c r="H7" s="201">
        <f>C7*SUM('Embodied Emissions'!D7+'Energy Emissions'!J6+'Transportation Emissions'!J5)</f>
        <v>0</v>
      </c>
      <c r="I7" s="178"/>
    </row>
    <row r="8" spans="2:9" x14ac:dyDescent="0.2">
      <c r="B8" s="209" t="s">
        <v>59</v>
      </c>
      <c r="C8" s="212">
        <v>0</v>
      </c>
      <c r="D8" s="189"/>
      <c r="E8" s="200">
        <f>'Embodied Emissions'!D8</f>
        <v>41.115990159277132</v>
      </c>
      <c r="F8" s="200">
        <f>+'Energy Emissions'!J7</f>
        <v>475.46822631578948</v>
      </c>
      <c r="G8" s="200">
        <f>+'Transportation Emissions'!J6</f>
        <v>709.19860882441196</v>
      </c>
      <c r="H8" s="201">
        <f>C8*SUM('Embodied Emissions'!D8+'Energy Emissions'!J7+'Transportation Emissions'!J6)</f>
        <v>0</v>
      </c>
      <c r="I8" s="178"/>
    </row>
    <row r="9" spans="2:9" x14ac:dyDescent="0.2">
      <c r="B9" s="210" t="s">
        <v>4</v>
      </c>
      <c r="C9" s="190"/>
      <c r="D9" s="213">
        <v>0</v>
      </c>
      <c r="E9" s="202">
        <f>'Embodied Emissions'!E9</f>
        <v>38.715621618905018</v>
      </c>
      <c r="F9" s="203">
        <f>'Energy Emissions'!K8</f>
        <v>645.54035848743752</v>
      </c>
      <c r="G9" s="203">
        <f>'Transportation Emissions'!K7</f>
        <v>361.22432864711374</v>
      </c>
      <c r="H9" s="201">
        <f>D9*(SUM('Embodied Emissions'!E9+'Energy Emissions'!K8+'Transportation Emissions'!K7))</f>
        <v>0</v>
      </c>
      <c r="I9" s="179"/>
    </row>
    <row r="10" spans="2:9" x14ac:dyDescent="0.2">
      <c r="B10" s="210" t="s">
        <v>5</v>
      </c>
      <c r="C10" s="190"/>
      <c r="D10" s="213">
        <v>0</v>
      </c>
      <c r="E10" s="202">
        <f>'Embodied Emissions'!E10</f>
        <v>38.715621618905018</v>
      </c>
      <c r="F10" s="203">
        <f>'Energy Emissions'!K9</f>
        <v>1541.4852795612628</v>
      </c>
      <c r="G10" s="203">
        <f>'Transportation Emissions'!K8</f>
        <v>281.97950334975786</v>
      </c>
      <c r="H10" s="201">
        <f>D10*(SUM('Embodied Emissions'!E10+'Energy Emissions'!K9+'Transportation Emissions'!K8))</f>
        <v>0</v>
      </c>
      <c r="I10" s="179"/>
    </row>
    <row r="11" spans="2:9" x14ac:dyDescent="0.2">
      <c r="B11" s="210" t="s">
        <v>6</v>
      </c>
      <c r="C11" s="190"/>
      <c r="D11" s="213">
        <v>0</v>
      </c>
      <c r="E11" s="202">
        <f>'Embodied Emissions'!E11</f>
        <v>38.715621618905018</v>
      </c>
      <c r="F11" s="203">
        <f>'Energy Emissions'!K10</f>
        <v>1994.2097850900659</v>
      </c>
      <c r="G11" s="203">
        <f>'Transportation Emissions'!K9</f>
        <v>560.8828666629729</v>
      </c>
      <c r="H11" s="201">
        <f>D11*(SUM('Embodied Emissions'!E11+'Energy Emissions'!K10+'Transportation Emissions'!K9))</f>
        <v>0</v>
      </c>
      <c r="I11" s="178"/>
    </row>
    <row r="12" spans="2:9" x14ac:dyDescent="0.2">
      <c r="B12" s="210" t="s">
        <v>127</v>
      </c>
      <c r="C12" s="190"/>
      <c r="D12" s="213">
        <v>0</v>
      </c>
      <c r="E12" s="202">
        <f>'Embodied Emissions'!E12</f>
        <v>38.715621618905018</v>
      </c>
      <c r="F12" s="203">
        <f>'Energy Emissions'!K11</f>
        <v>1937.8369653095187</v>
      </c>
      <c r="G12" s="203">
        <f>'Transportation Emissions'!K10</f>
        <v>582.04825785780213</v>
      </c>
      <c r="H12" s="201">
        <f>D12*(SUM('Embodied Emissions'!E12+'Energy Emissions'!K11+'Transportation Emissions'!K10))</f>
        <v>0</v>
      </c>
      <c r="I12" s="178"/>
    </row>
    <row r="13" spans="2:9" x14ac:dyDescent="0.2">
      <c r="B13" s="210" t="s">
        <v>126</v>
      </c>
      <c r="C13" s="190"/>
      <c r="D13" s="213">
        <v>0</v>
      </c>
      <c r="E13" s="202">
        <f>'Embodied Emissions'!E13</f>
        <v>38.715621618905018</v>
      </c>
      <c r="F13" s="203">
        <f>'Energy Emissions'!K12</f>
        <v>736.55862803706896</v>
      </c>
      <c r="G13" s="203">
        <f>'Transportation Emissions'!K11</f>
        <v>571.26958641599094</v>
      </c>
      <c r="H13" s="201">
        <f>D13*(SUM('Embodied Emissions'!E13+'Energy Emissions'!K12+'Transportation Emissions'!K11))</f>
        <v>0</v>
      </c>
      <c r="I13" s="178"/>
    </row>
    <row r="14" spans="2:9" x14ac:dyDescent="0.2">
      <c r="B14" s="210" t="s">
        <v>7</v>
      </c>
      <c r="C14" s="190"/>
      <c r="D14" s="213">
        <v>0</v>
      </c>
      <c r="E14" s="202">
        <f>'Embodied Emissions'!E14</f>
        <v>38.715621618905018</v>
      </c>
      <c r="F14" s="203">
        <f>'Energy Emissions'!K13</f>
        <v>777.2518055642737</v>
      </c>
      <c r="G14" s="203">
        <f>'Transportation Emissions'!K12</f>
        <v>117.16125205645085</v>
      </c>
      <c r="H14" s="201">
        <f>D14*(SUM('Embodied Emissions'!E14+'Energy Emissions'!K13+'Transportation Emissions'!K12))</f>
        <v>0</v>
      </c>
      <c r="I14" s="178"/>
    </row>
    <row r="15" spans="2:9" x14ac:dyDescent="0.2">
      <c r="B15" s="210" t="s">
        <v>8</v>
      </c>
      <c r="C15" s="190"/>
      <c r="D15" s="213">
        <v>0</v>
      </c>
      <c r="E15" s="202">
        <f>'Embodied Emissions'!E15</f>
        <v>38.715621618905018</v>
      </c>
      <c r="F15" s="203">
        <f>'Energy Emissions'!K14</f>
        <v>577.25166222634084</v>
      </c>
      <c r="G15" s="203">
        <f>'Transportation Emissions'!K13</f>
        <v>246.78846133170811</v>
      </c>
      <c r="H15" s="201">
        <f>D15*(SUM('Embodied Emissions'!E15+'Energy Emissions'!K14+'Transportation Emissions'!K13))</f>
        <v>0</v>
      </c>
      <c r="I15" s="178"/>
    </row>
    <row r="16" spans="2:9" x14ac:dyDescent="0.2">
      <c r="B16" s="210" t="s">
        <v>9</v>
      </c>
      <c r="C16" s="190"/>
      <c r="D16" s="213">
        <v>0</v>
      </c>
      <c r="E16" s="202">
        <f>'Embodied Emissions'!E16</f>
        <v>38.715621618905018</v>
      </c>
      <c r="F16" s="203">
        <f>'Energy Emissions'!K15</f>
        <v>723.03804298680689</v>
      </c>
      <c r="G16" s="203">
        <f>'Transportation Emissions'!K14</f>
        <v>587.59157459930486</v>
      </c>
      <c r="H16" s="201">
        <f>D16*(SUM('Embodied Emissions'!E16+'Energy Emissions'!K15+'Transportation Emissions'!K14))</f>
        <v>0</v>
      </c>
      <c r="I16" s="178"/>
    </row>
    <row r="17" spans="2:9" x14ac:dyDescent="0.2">
      <c r="B17" s="210" t="s">
        <v>10</v>
      </c>
      <c r="C17" s="190"/>
      <c r="D17" s="213">
        <v>0</v>
      </c>
      <c r="E17" s="202">
        <f>'Embodied Emissions'!E17</f>
        <v>38.715621618905018</v>
      </c>
      <c r="F17" s="203">
        <f>'Energy Emissions'!K16</f>
        <v>732.77762356913013</v>
      </c>
      <c r="G17" s="203">
        <f>'Transportation Emissions'!K15</f>
        <v>150.48076910470004</v>
      </c>
      <c r="H17" s="201">
        <f>D17*(SUM('Embodied Emissions'!E17+'Energy Emissions'!K16+'Transportation Emissions'!K15))</f>
        <v>0</v>
      </c>
      <c r="I17" s="178"/>
    </row>
    <row r="18" spans="2:9" x14ac:dyDescent="0.2">
      <c r="B18" s="210" t="s">
        <v>11</v>
      </c>
      <c r="C18" s="190"/>
      <c r="D18" s="213">
        <v>0</v>
      </c>
      <c r="E18" s="202">
        <f>'Embodied Emissions'!E18</f>
        <v>38.715621618905018</v>
      </c>
      <c r="F18" s="203">
        <f>'Energy Emissions'!K17</f>
        <v>898.60393838347227</v>
      </c>
      <c r="G18" s="203">
        <f>'Transportation Emissions'!K16</f>
        <v>373.92191110864866</v>
      </c>
      <c r="H18" s="201">
        <f>D18*(SUM('Embodied Emissions'!E18+'Energy Emissions'!K17+'Transportation Emissions'!K16))</f>
        <v>0</v>
      </c>
      <c r="I18" s="178"/>
    </row>
    <row r="19" spans="2:9" x14ac:dyDescent="0.2">
      <c r="B19" s="210" t="s">
        <v>12</v>
      </c>
      <c r="C19" s="190"/>
      <c r="D19" s="213">
        <v>0</v>
      </c>
      <c r="E19" s="202">
        <f>'Embodied Emissions'!E19</f>
        <v>38.715621618905018</v>
      </c>
      <c r="F19" s="203">
        <f>'Energy Emissions'!K18</f>
        <v>338.79401737926599</v>
      </c>
      <c r="G19" s="203">
        <f>'Transportation Emissions'!K17</f>
        <v>128.53565694359798</v>
      </c>
      <c r="H19" s="201">
        <f>D19*(SUM('Embodied Emissions'!E19+'Energy Emissions'!K18+'Transportation Emissions'!K17))</f>
        <v>0</v>
      </c>
      <c r="I19" s="178"/>
    </row>
    <row r="20" spans="2:9" x14ac:dyDescent="0.2">
      <c r="B20" s="210" t="s">
        <v>13</v>
      </c>
      <c r="C20" s="190"/>
      <c r="D20" s="213">
        <v>0</v>
      </c>
      <c r="E20" s="202">
        <f>'Embodied Emissions'!E20</f>
        <v>38.715621618905018</v>
      </c>
      <c r="F20" s="203">
        <f>'Energy Emissions'!K19</f>
        <v>599.41664592336497</v>
      </c>
      <c r="G20" s="203">
        <f>'Transportation Emissions'!K18</f>
        <v>265.93584195227163</v>
      </c>
      <c r="H20" s="201">
        <f>D20*(SUM('Embodied Emissions'!E20+'Energy Emissions'!K19+'Transportation Emissions'!K18))</f>
        <v>0</v>
      </c>
      <c r="I20" s="178"/>
    </row>
    <row r="21" spans="2:9" x14ac:dyDescent="0.2">
      <c r="B21" s="210" t="s">
        <v>14</v>
      </c>
      <c r="C21" s="190"/>
      <c r="D21" s="213">
        <v>0</v>
      </c>
      <c r="E21" s="202">
        <f>'Embodied Emissions'!E21</f>
        <v>38.715621618905018</v>
      </c>
      <c r="F21" s="203">
        <f>'Energy Emissions'!K20</f>
        <v>351.56941308571385</v>
      </c>
      <c r="G21" s="203">
        <f>'Transportation Emissions'!K19</f>
        <v>181.46210392037355</v>
      </c>
      <c r="H21" s="201">
        <f>D21*(SUM('Embodied Emissions'!E21+'Energy Emissions'!K20+'Transportation Emissions'!K19))</f>
        <v>0</v>
      </c>
      <c r="I21" s="178"/>
    </row>
    <row r="22" spans="2:9" x14ac:dyDescent="0.2">
      <c r="B22" s="210" t="s">
        <v>15</v>
      </c>
      <c r="C22" s="190"/>
      <c r="D22" s="213">
        <v>0</v>
      </c>
      <c r="E22" s="202">
        <f>'Embodied Emissions'!E22</f>
        <v>38.715621618905018</v>
      </c>
      <c r="F22" s="203">
        <f>'Energy Emissions'!K21</f>
        <v>1278.3883843825354</v>
      </c>
      <c r="G22" s="203">
        <f>'Transportation Emissions'!K20</f>
        <v>257.07131388719597</v>
      </c>
      <c r="H22" s="201">
        <f>D22*(SUM('Embodied Emissions'!E22+'Energy Emissions'!K21+'Transportation Emissions'!K20))</f>
        <v>0</v>
      </c>
      <c r="I22" s="178"/>
    </row>
    <row r="23" spans="2:9" x14ac:dyDescent="0.2">
      <c r="B23" s="210" t="s">
        <v>16</v>
      </c>
      <c r="C23" s="190"/>
      <c r="D23" s="213">
        <v>0</v>
      </c>
      <c r="E23" s="202">
        <f>'Embodied Emissions'!E23</f>
        <v>38.715621618905018</v>
      </c>
      <c r="F23" s="203">
        <f>'Energy Emissions'!K22</f>
        <v>162.1558599622812</v>
      </c>
      <c r="G23" s="203">
        <f>'Transportation Emissions'!K21</f>
        <v>46.563860628624177</v>
      </c>
      <c r="H23" s="201">
        <f>D23*(SUM('Embodied Emissions'!E23+'Energy Emissions'!K22+'Transportation Emissions'!K21))</f>
        <v>0</v>
      </c>
      <c r="I23" s="178"/>
    </row>
    <row r="24" spans="2:9" x14ac:dyDescent="0.2">
      <c r="B24" s="205"/>
      <c r="D24" s="191"/>
      <c r="E24" s="204"/>
      <c r="F24" s="204"/>
      <c r="G24" s="204"/>
      <c r="H24" s="205"/>
    </row>
    <row r="25" spans="2:9" x14ac:dyDescent="0.2">
      <c r="B25" s="211" t="s">
        <v>171</v>
      </c>
      <c r="C25" s="192"/>
      <c r="D25" s="191"/>
      <c r="E25" s="204"/>
      <c r="F25" s="204"/>
      <c r="G25" s="204"/>
      <c r="H25" s="205"/>
    </row>
    <row r="26" spans="2:9" x14ac:dyDescent="0.2">
      <c r="B26" s="205"/>
      <c r="D26" s="191"/>
      <c r="E26" s="204"/>
      <c r="F26" s="204"/>
      <c r="G26" s="204"/>
      <c r="H26" s="205"/>
    </row>
    <row r="27" spans="2:9" x14ac:dyDescent="0.2">
      <c r="B27" s="210" t="s">
        <v>176</v>
      </c>
      <c r="C27" s="190"/>
      <c r="D27" s="193">
        <v>0</v>
      </c>
      <c r="E27" s="206"/>
      <c r="F27" s="206"/>
      <c r="G27" s="206"/>
      <c r="H27" s="201">
        <f>D27*(SUM('Embodied Emissions'!B62))</f>
        <v>0</v>
      </c>
    </row>
    <row r="28" spans="2:9" x14ac:dyDescent="0.2">
      <c r="E28" s="205"/>
      <c r="F28" s="205"/>
      <c r="G28" s="205"/>
      <c r="H28" s="205"/>
    </row>
    <row r="29" spans="2:9" x14ac:dyDescent="0.2">
      <c r="B29" s="194"/>
      <c r="C29" s="195"/>
      <c r="D29" s="196" t="s">
        <v>178</v>
      </c>
      <c r="E29" s="207"/>
      <c r="F29" s="207"/>
      <c r="G29" s="207"/>
      <c r="H29" s="208">
        <f>SUM(H5:H27)</f>
        <v>0</v>
      </c>
    </row>
    <row r="30" spans="2:9" x14ac:dyDescent="0.2">
      <c r="B30" s="214" t="s">
        <v>193</v>
      </c>
      <c r="C30" s="194"/>
    </row>
    <row r="32" spans="2:9" ht="15" x14ac:dyDescent="0.2">
      <c r="B32" s="197"/>
      <c r="C32" s="197"/>
    </row>
    <row r="33" spans="2:3" ht="15" x14ac:dyDescent="0.2">
      <c r="B33" s="198"/>
      <c r="C33" s="198"/>
    </row>
    <row r="34" spans="2:3" ht="15" x14ac:dyDescent="0.2">
      <c r="B34" s="197"/>
      <c r="C34" s="197"/>
    </row>
    <row r="35" spans="2:3" ht="15" x14ac:dyDescent="0.2">
      <c r="B35" s="199"/>
      <c r="C35" s="199"/>
    </row>
    <row r="36" spans="2:3" ht="15" x14ac:dyDescent="0.2">
      <c r="B36" s="197"/>
      <c r="C36" s="197"/>
    </row>
    <row r="37" spans="2:3" ht="15" x14ac:dyDescent="0.2">
      <c r="B37" s="199"/>
      <c r="C37" s="199"/>
    </row>
    <row r="38" spans="2:3" ht="15" x14ac:dyDescent="0.2">
      <c r="B38" s="197"/>
      <c r="C38" s="197"/>
    </row>
    <row r="39" spans="2:3" ht="15" x14ac:dyDescent="0.2">
      <c r="B39" s="199"/>
      <c r="C39" s="199"/>
    </row>
    <row r="40" spans="2:3" ht="15" x14ac:dyDescent="0.2">
      <c r="B40" s="197"/>
      <c r="C40" s="197"/>
    </row>
    <row r="41" spans="2:3" ht="15" x14ac:dyDescent="0.2">
      <c r="B41" s="199"/>
      <c r="C41" s="199"/>
    </row>
    <row r="42" spans="2:3" ht="15" x14ac:dyDescent="0.2">
      <c r="B42" s="197"/>
      <c r="C42" s="197"/>
    </row>
  </sheetData>
  <sheetProtection algorithmName="SHA-512" hashValue="JxkOBBN22ICbdVbc2McZkEU+7XRGjWWOGreRIKA+OEUKbAJ2QLSihPXVlx9O2pJF1E5uzCTHwvrGEwwjEfzBmw==" saltValue="OsEQrsGQoHz6lH3bgP1mHg==" spinCount="100000" sheet="1" objects="1" scenarios="1" selectLockedCells="1"/>
  <mergeCells count="2">
    <mergeCell ref="E3:G3"/>
    <mergeCell ref="B1:H1"/>
  </mergeCells>
  <phoneticPr fontId="3" type="noConversion"/>
  <pageMargins left="0.75" right="0.75" top="1" bottom="1" header="0.5" footer="0.5"/>
  <pageSetup scale="81" orientation="portrait" r:id="rId1"/>
  <headerFooter alignWithMargins="0">
    <oddFooter>&amp;LDepartment of Local Services, Permitting Division
35030 SE Douglas Street, Suite 210
Snoqualmie, WA  98065-9266&amp;CMarch 2019&amp;R206-296-6600
   TTY Relay:  711
www.kingcounty.gov</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Normal="100" workbookViewId="0">
      <selection activeCell="E7" sqref="E7"/>
    </sheetView>
  </sheetViews>
  <sheetFormatPr defaultRowHeight="12.75" x14ac:dyDescent="0.2"/>
  <cols>
    <col min="1" max="1" width="12.28515625" style="93" customWidth="1"/>
    <col min="2" max="2" width="34.42578125" style="93" customWidth="1"/>
    <col min="3" max="3" width="63.28515625" style="93" customWidth="1"/>
    <col min="4" max="16384" width="9.140625" style="93"/>
  </cols>
  <sheetData>
    <row r="1" spans="1:6" ht="89.25" customHeight="1" x14ac:dyDescent="0.2">
      <c r="A1" s="217"/>
      <c r="B1" s="217"/>
      <c r="C1" s="217"/>
    </row>
    <row r="2" spans="1:6" x14ac:dyDescent="0.2">
      <c r="B2" s="93" t="s">
        <v>159</v>
      </c>
    </row>
    <row r="3" spans="1:6" ht="25.5" x14ac:dyDescent="0.2">
      <c r="B3" s="122" t="s">
        <v>125</v>
      </c>
      <c r="C3" s="122" t="s">
        <v>82</v>
      </c>
    </row>
    <row r="4" spans="1:6" ht="25.5" x14ac:dyDescent="0.2">
      <c r="B4" s="123" t="s">
        <v>58</v>
      </c>
      <c r="C4" s="124" t="s">
        <v>87</v>
      </c>
      <c r="F4" s="94"/>
    </row>
    <row r="5" spans="1:6" x14ac:dyDescent="0.2">
      <c r="B5" s="123" t="s">
        <v>83</v>
      </c>
      <c r="C5" s="124" t="s">
        <v>84</v>
      </c>
      <c r="F5" s="95"/>
    </row>
    <row r="6" spans="1:6" x14ac:dyDescent="0.2">
      <c r="B6" s="123" t="s">
        <v>85</v>
      </c>
      <c r="C6" s="124" t="s">
        <v>86</v>
      </c>
      <c r="F6" s="95"/>
    </row>
    <row r="7" spans="1:6" x14ac:dyDescent="0.2">
      <c r="B7" s="123" t="s">
        <v>59</v>
      </c>
      <c r="C7" s="124"/>
      <c r="F7" s="95"/>
    </row>
    <row r="8" spans="1:6" ht="76.5" x14ac:dyDescent="0.2">
      <c r="B8" s="127" t="s">
        <v>4</v>
      </c>
      <c r="C8" s="128" t="s">
        <v>101</v>
      </c>
      <c r="D8" s="7"/>
      <c r="F8" s="95"/>
    </row>
    <row r="9" spans="1:6" x14ac:dyDescent="0.2">
      <c r="B9" s="127" t="s">
        <v>5</v>
      </c>
      <c r="C9" s="128" t="s">
        <v>88</v>
      </c>
      <c r="D9" s="7"/>
    </row>
    <row r="10" spans="1:6" ht="25.5" x14ac:dyDescent="0.2">
      <c r="B10" s="127" t="s">
        <v>6</v>
      </c>
      <c r="C10" s="128" t="s">
        <v>89</v>
      </c>
      <c r="D10" s="7"/>
    </row>
    <row r="11" spans="1:6" x14ac:dyDescent="0.2">
      <c r="B11" s="129" t="s">
        <v>127</v>
      </c>
      <c r="C11" s="128" t="s">
        <v>90</v>
      </c>
      <c r="D11"/>
    </row>
    <row r="12" spans="1:6" ht="51" x14ac:dyDescent="0.2">
      <c r="B12" s="129" t="s">
        <v>126</v>
      </c>
      <c r="C12" s="128" t="s">
        <v>91</v>
      </c>
    </row>
    <row r="13" spans="1:6" ht="38.25" x14ac:dyDescent="0.2">
      <c r="B13" s="127" t="s">
        <v>7</v>
      </c>
      <c r="C13" s="128" t="s">
        <v>92</v>
      </c>
    </row>
    <row r="14" spans="1:6" x14ac:dyDescent="0.2">
      <c r="B14" s="127" t="s">
        <v>8</v>
      </c>
      <c r="C14" s="128" t="s">
        <v>93</v>
      </c>
    </row>
    <row r="15" spans="1:6" ht="51" x14ac:dyDescent="0.2">
      <c r="B15" s="127" t="s">
        <v>9</v>
      </c>
      <c r="C15" s="128" t="s">
        <v>102</v>
      </c>
    </row>
    <row r="16" spans="1:6" ht="25.5" x14ac:dyDescent="0.2">
      <c r="B16" s="127" t="s">
        <v>10</v>
      </c>
      <c r="C16" s="128" t="s">
        <v>94</v>
      </c>
    </row>
    <row r="17" spans="1:3" x14ac:dyDescent="0.2">
      <c r="B17" s="127" t="s">
        <v>11</v>
      </c>
      <c r="C17" s="128" t="s">
        <v>95</v>
      </c>
    </row>
    <row r="18" spans="1:3" ht="25.5" x14ac:dyDescent="0.2">
      <c r="B18" s="127" t="s">
        <v>12</v>
      </c>
      <c r="C18" s="128" t="s">
        <v>96</v>
      </c>
    </row>
    <row r="19" spans="1:3" ht="25.5" x14ac:dyDescent="0.2">
      <c r="B19" s="127" t="s">
        <v>13</v>
      </c>
      <c r="C19" s="128" t="s">
        <v>97</v>
      </c>
    </row>
    <row r="20" spans="1:3" ht="25.5" x14ac:dyDescent="0.2">
      <c r="B20" s="127" t="s">
        <v>14</v>
      </c>
      <c r="C20" s="128" t="s">
        <v>98</v>
      </c>
    </row>
    <row r="21" spans="1:3" ht="63.75" x14ac:dyDescent="0.2">
      <c r="B21" s="127" t="s">
        <v>15</v>
      </c>
      <c r="C21" s="128" t="s">
        <v>99</v>
      </c>
    </row>
    <row r="22" spans="1:3" ht="38.25" x14ac:dyDescent="0.2">
      <c r="B22" s="127" t="s">
        <v>16</v>
      </c>
      <c r="C22" s="128" t="s">
        <v>100</v>
      </c>
    </row>
    <row r="24" spans="1:3" x14ac:dyDescent="0.2">
      <c r="A24" s="96" t="s">
        <v>109</v>
      </c>
    </row>
    <row r="25" spans="1:3" x14ac:dyDescent="0.2">
      <c r="A25" s="125" t="s">
        <v>107</v>
      </c>
      <c r="B25" s="126" t="s">
        <v>106</v>
      </c>
      <c r="C25" s="11"/>
    </row>
    <row r="26" spans="1:3" x14ac:dyDescent="0.2">
      <c r="A26" s="125"/>
      <c r="B26" s="126" t="s">
        <v>24</v>
      </c>
      <c r="C26" s="11"/>
    </row>
    <row r="27" spans="1:3" x14ac:dyDescent="0.2">
      <c r="A27" s="125"/>
      <c r="B27" s="126" t="s">
        <v>23</v>
      </c>
      <c r="C27" s="11"/>
    </row>
    <row r="29" spans="1:3" x14ac:dyDescent="0.2">
      <c r="A29" s="130" t="s">
        <v>108</v>
      </c>
      <c r="B29" s="131" t="s">
        <v>103</v>
      </c>
    </row>
    <row r="30" spans="1:3" x14ac:dyDescent="0.2">
      <c r="A30" s="130"/>
      <c r="B30" s="131" t="s">
        <v>105</v>
      </c>
    </row>
    <row r="31" spans="1:3" x14ac:dyDescent="0.2">
      <c r="A31" s="130"/>
      <c r="B31" s="130" t="s">
        <v>104</v>
      </c>
    </row>
  </sheetData>
  <sheetProtection algorithmName="SHA-512" hashValue="eEt4hBHn5INk7T+fRzqVn7EMqc8e/baIVTHrs8MLrm2q+xbtpTJR9KWm+bIYZ8bmBGdwUJrlFMoVH8TvrtnRdA==" saltValue="c397Q/i+1Ni7tTZ6CaPrNg==" spinCount="100000" sheet="1" objects="1" scenarios="1" selectLockedCells="1" selectUnlockedCells="1"/>
  <mergeCells count="1">
    <mergeCell ref="A1:C1"/>
  </mergeCells>
  <phoneticPr fontId="3" type="noConversion"/>
  <pageMargins left="0.75" right="0.75" top="1" bottom="1" header="0.5" footer="0.5"/>
  <pageSetup scale="82" orientation="portrait" horizontalDpi="525" verticalDpi="525" r:id="rId1"/>
  <headerFooter alignWithMargins="0">
    <oddFooter>&amp;LDepartment of Local Services, Permitting Division
35030 SE Douglas Street, Suite 210
Snoqualmie, WA  98065-9266&amp;CMarch 2019&amp;R206-296-6600
   TTY Relay:  711
www.kingcounty.gov</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98"/>
  <sheetViews>
    <sheetView zoomScale="75" zoomScaleNormal="75" workbookViewId="0">
      <selection sqref="A1:XFD1"/>
    </sheetView>
  </sheetViews>
  <sheetFormatPr defaultRowHeight="12.75" x14ac:dyDescent="0.2"/>
  <cols>
    <col min="1" max="1" width="37.140625" style="7" customWidth="1"/>
    <col min="2" max="2" width="33.85546875" style="7" customWidth="1"/>
    <col min="3" max="3" width="11" style="7" customWidth="1"/>
    <col min="4" max="4" width="19.42578125" style="7" customWidth="1"/>
    <col min="5" max="5" width="24.7109375" style="7" customWidth="1"/>
    <col min="6" max="6" width="11" style="7" customWidth="1"/>
    <col min="7" max="7" width="9.85546875" style="7" customWidth="1"/>
    <col min="8" max="8" width="12.28515625" style="7" customWidth="1"/>
    <col min="9" max="9" width="16.42578125" style="7" customWidth="1"/>
    <col min="10" max="16384" width="9.140625" style="7"/>
  </cols>
  <sheetData>
    <row r="2" spans="2:8" x14ac:dyDescent="0.2">
      <c r="B2" s="7" t="s">
        <v>157</v>
      </c>
      <c r="H2" s="8"/>
    </row>
    <row r="3" spans="2:8" x14ac:dyDescent="0.2">
      <c r="B3" s="165" t="s">
        <v>173</v>
      </c>
      <c r="H3" s="8"/>
    </row>
    <row r="4" spans="2:8" ht="51" x14ac:dyDescent="0.2">
      <c r="B4" s="36" t="s">
        <v>125</v>
      </c>
      <c r="C4" s="81" t="s">
        <v>110</v>
      </c>
      <c r="D4" s="81" t="s">
        <v>137</v>
      </c>
      <c r="E4" s="36" t="s">
        <v>138</v>
      </c>
    </row>
    <row r="5" spans="2:8" x14ac:dyDescent="0.2">
      <c r="B5" s="105" t="s">
        <v>58</v>
      </c>
      <c r="C5" s="161">
        <f>2527/1000</f>
        <v>2.5270000000000001</v>
      </c>
      <c r="D5" s="103">
        <f t="shared" ref="D5:D23" si="0">C5*E5</f>
        <v>97.834375830972988</v>
      </c>
      <c r="E5" s="33">
        <f t="shared" ref="E5:E23" si="1">I$31</f>
        <v>38.715621618905018</v>
      </c>
    </row>
    <row r="6" spans="2:8" x14ac:dyDescent="0.2">
      <c r="B6" s="105" t="s">
        <v>83</v>
      </c>
      <c r="C6" s="161">
        <f>847/1000</f>
        <v>0.84699999999999998</v>
      </c>
      <c r="D6" s="103">
        <f>C6*E6</f>
        <v>32.792131511212553</v>
      </c>
      <c r="E6" s="33">
        <f t="shared" si="1"/>
        <v>38.715621618905018</v>
      </c>
    </row>
    <row r="7" spans="2:8" x14ac:dyDescent="0.2">
      <c r="B7" s="105" t="s">
        <v>85</v>
      </c>
      <c r="C7" s="161">
        <v>1.393</v>
      </c>
      <c r="D7" s="103">
        <f t="shared" si="0"/>
        <v>53.930860915134694</v>
      </c>
      <c r="E7" s="33">
        <f t="shared" si="1"/>
        <v>38.715621618905018</v>
      </c>
    </row>
    <row r="8" spans="2:8" x14ac:dyDescent="0.2">
      <c r="B8" s="105" t="s">
        <v>59</v>
      </c>
      <c r="C8" s="161">
        <f>1062/1000</f>
        <v>1.0620000000000001</v>
      </c>
      <c r="D8" s="103">
        <f t="shared" si="0"/>
        <v>41.115990159277132</v>
      </c>
      <c r="E8" s="33">
        <f t="shared" si="1"/>
        <v>38.715621618905018</v>
      </c>
    </row>
    <row r="9" spans="2:8" x14ac:dyDescent="0.2">
      <c r="B9" s="34" t="s">
        <v>4</v>
      </c>
      <c r="C9" s="67">
        <v>25.6</v>
      </c>
      <c r="D9" s="103">
        <f>C9*E9</f>
        <v>991.11991344396847</v>
      </c>
      <c r="E9" s="33">
        <f t="shared" si="1"/>
        <v>38.715621618905018</v>
      </c>
    </row>
    <row r="10" spans="2:8" x14ac:dyDescent="0.2">
      <c r="B10" s="34" t="s">
        <v>5</v>
      </c>
      <c r="C10" s="67">
        <v>5.6</v>
      </c>
      <c r="D10" s="103">
        <f t="shared" si="0"/>
        <v>216.8074810658681</v>
      </c>
      <c r="E10" s="33">
        <f t="shared" si="1"/>
        <v>38.715621618905018</v>
      </c>
    </row>
    <row r="11" spans="2:8" x14ac:dyDescent="0.2">
      <c r="B11" s="34" t="s">
        <v>6</v>
      </c>
      <c r="C11" s="67">
        <v>5.6</v>
      </c>
      <c r="D11" s="103">
        <f t="shared" si="0"/>
        <v>216.8074810658681</v>
      </c>
      <c r="E11" s="33">
        <f t="shared" si="1"/>
        <v>38.715621618905018</v>
      </c>
    </row>
    <row r="12" spans="2:8" x14ac:dyDescent="0.2">
      <c r="B12" s="34" t="s">
        <v>127</v>
      </c>
      <c r="C12" s="67">
        <v>241.4</v>
      </c>
      <c r="D12" s="103">
        <f t="shared" si="0"/>
        <v>9345.9510588036719</v>
      </c>
      <c r="E12" s="33">
        <f t="shared" si="1"/>
        <v>38.715621618905018</v>
      </c>
    </row>
    <row r="13" spans="2:8" x14ac:dyDescent="0.2">
      <c r="B13" s="34" t="s">
        <v>126</v>
      </c>
      <c r="C13" s="67">
        <v>10.4</v>
      </c>
      <c r="D13" s="103">
        <f t="shared" si="0"/>
        <v>402.64246483661219</v>
      </c>
      <c r="E13" s="33">
        <f t="shared" si="1"/>
        <v>38.715621618905018</v>
      </c>
    </row>
    <row r="14" spans="2:8" x14ac:dyDescent="0.2">
      <c r="B14" s="34" t="s">
        <v>7</v>
      </c>
      <c r="C14" s="67">
        <v>35.799999999999997</v>
      </c>
      <c r="D14" s="103">
        <f t="shared" si="0"/>
        <v>1386.0192539567995</v>
      </c>
      <c r="E14" s="33">
        <f t="shared" si="1"/>
        <v>38.715621618905018</v>
      </c>
    </row>
    <row r="15" spans="2:8" x14ac:dyDescent="0.2">
      <c r="B15" s="34" t="s">
        <v>8</v>
      </c>
      <c r="C15" s="67">
        <v>9.6999999999999993</v>
      </c>
      <c r="D15" s="103">
        <f t="shared" si="0"/>
        <v>375.54152970337867</v>
      </c>
      <c r="E15" s="33">
        <f t="shared" si="1"/>
        <v>38.715621618905018</v>
      </c>
    </row>
    <row r="16" spans="2:8" x14ac:dyDescent="0.2">
      <c r="B16" s="34" t="s">
        <v>9</v>
      </c>
      <c r="C16" s="67">
        <v>14.8</v>
      </c>
      <c r="D16" s="103">
        <f t="shared" si="0"/>
        <v>572.99119995979424</v>
      </c>
      <c r="E16" s="33">
        <f t="shared" si="1"/>
        <v>38.715621618905018</v>
      </c>
    </row>
    <row r="17" spans="1:9" x14ac:dyDescent="0.2">
      <c r="B17" s="34" t="s">
        <v>10</v>
      </c>
      <c r="C17" s="67">
        <v>14.2</v>
      </c>
      <c r="D17" s="103">
        <f t="shared" si="0"/>
        <v>549.76182698845128</v>
      </c>
      <c r="E17" s="33">
        <f t="shared" si="1"/>
        <v>38.715621618905018</v>
      </c>
    </row>
    <row r="18" spans="1:9" x14ac:dyDescent="0.2">
      <c r="B18" s="34" t="s">
        <v>11</v>
      </c>
      <c r="C18" s="67">
        <v>15.5</v>
      </c>
      <c r="D18" s="103">
        <f t="shared" si="0"/>
        <v>600.09213509302776</v>
      </c>
      <c r="E18" s="33">
        <f t="shared" si="1"/>
        <v>38.715621618905018</v>
      </c>
    </row>
    <row r="19" spans="1:9" x14ac:dyDescent="0.2">
      <c r="B19" s="34" t="s">
        <v>12</v>
      </c>
      <c r="C19" s="67">
        <v>10.1</v>
      </c>
      <c r="D19" s="103">
        <f t="shared" si="0"/>
        <v>391.02777835094065</v>
      </c>
      <c r="E19" s="33">
        <f t="shared" si="1"/>
        <v>38.715621618905018</v>
      </c>
    </row>
    <row r="20" spans="1:9" x14ac:dyDescent="0.2">
      <c r="B20" s="34" t="s">
        <v>13</v>
      </c>
      <c r="C20" s="67">
        <v>6.5</v>
      </c>
      <c r="D20" s="103">
        <f t="shared" si="0"/>
        <v>251.65154052288261</v>
      </c>
      <c r="E20" s="33">
        <f t="shared" si="1"/>
        <v>38.715621618905018</v>
      </c>
    </row>
    <row r="21" spans="1:9" x14ac:dyDescent="0.2">
      <c r="B21" s="34" t="s">
        <v>14</v>
      </c>
      <c r="C21" s="67">
        <v>16.899999999999999</v>
      </c>
      <c r="D21" s="103">
        <f t="shared" si="0"/>
        <v>654.2940053594948</v>
      </c>
      <c r="E21" s="33">
        <f t="shared" si="1"/>
        <v>38.715621618905018</v>
      </c>
    </row>
    <row r="22" spans="1:9" x14ac:dyDescent="0.2">
      <c r="B22" s="34" t="s">
        <v>15</v>
      </c>
      <c r="C22" s="67">
        <v>21.9</v>
      </c>
      <c r="D22" s="103">
        <f t="shared" si="0"/>
        <v>847.87211345401988</v>
      </c>
      <c r="E22" s="33">
        <f t="shared" si="1"/>
        <v>38.715621618905018</v>
      </c>
    </row>
    <row r="23" spans="1:9" x14ac:dyDescent="0.2">
      <c r="B23" s="34" t="s">
        <v>16</v>
      </c>
      <c r="C23" s="67">
        <v>14.1</v>
      </c>
      <c r="D23" s="103">
        <f t="shared" si="0"/>
        <v>545.89026482656072</v>
      </c>
      <c r="E23" s="33">
        <f t="shared" si="1"/>
        <v>38.715621618905018</v>
      </c>
    </row>
    <row r="24" spans="1:9" x14ac:dyDescent="0.2">
      <c r="B24" s="169"/>
      <c r="C24" s="170"/>
      <c r="D24" s="171"/>
      <c r="E24" s="172"/>
    </row>
    <row r="25" spans="1:9" x14ac:dyDescent="0.2">
      <c r="B25" s="166" t="s">
        <v>171</v>
      </c>
      <c r="C25" s="170"/>
      <c r="D25" s="171"/>
      <c r="E25" s="172"/>
    </row>
    <row r="26" spans="1:9" x14ac:dyDescent="0.2">
      <c r="B26" s="34" t="s">
        <v>172</v>
      </c>
      <c r="C26" s="164"/>
      <c r="D26" s="164"/>
      <c r="E26" s="173">
        <v>50</v>
      </c>
    </row>
    <row r="27" spans="1:9" x14ac:dyDescent="0.2">
      <c r="B27" s="9"/>
      <c r="G27" s="10"/>
    </row>
    <row r="28" spans="1:9" ht="25.5" x14ac:dyDescent="0.2">
      <c r="A28" s="36"/>
      <c r="B28" s="36" t="s">
        <v>112</v>
      </c>
      <c r="C28" s="36" t="s">
        <v>122</v>
      </c>
      <c r="D28" s="36" t="s">
        <v>113</v>
      </c>
      <c r="E28" s="36" t="s">
        <v>114</v>
      </c>
      <c r="F28" s="36" t="s">
        <v>115</v>
      </c>
      <c r="G28" s="36" t="s">
        <v>116</v>
      </c>
      <c r="H28" s="59"/>
      <c r="I28" s="59"/>
    </row>
    <row r="29" spans="1:9" ht="25.5" x14ac:dyDescent="0.2">
      <c r="A29" s="36" t="s">
        <v>121</v>
      </c>
      <c r="B29" s="115">
        <f>25.87*C48/C49</f>
        <v>5.2985936392967377</v>
      </c>
      <c r="C29" s="115">
        <f>37.88*C48/C49</f>
        <v>7.7584355259590421</v>
      </c>
      <c r="D29" s="115">
        <f>93.33*C48/C49</f>
        <v>19.115490697934458</v>
      </c>
      <c r="E29" s="115">
        <f>249.77*C48/C49</f>
        <v>51.156928229112715</v>
      </c>
      <c r="F29" s="115">
        <f>27.78*C48/C49</f>
        <v>5.6897924738949888</v>
      </c>
      <c r="G29" s="115">
        <f>103.95*C48/C49</f>
        <v>21.290638144758244</v>
      </c>
      <c r="H29" s="102"/>
      <c r="I29" s="102"/>
    </row>
    <row r="30" spans="1:9" ht="51" x14ac:dyDescent="0.2">
      <c r="A30" s="36" t="s">
        <v>119</v>
      </c>
      <c r="B30" s="111">
        <v>0</v>
      </c>
      <c r="C30" s="112">
        <f>2269</f>
        <v>2269</v>
      </c>
      <c r="D30" s="112">
        <v>3206</v>
      </c>
      <c r="E30" s="114">
        <f>19*15</f>
        <v>285</v>
      </c>
      <c r="F30" s="113">
        <v>6050</v>
      </c>
      <c r="G30" s="113">
        <v>3103</v>
      </c>
      <c r="H30" s="99" t="s">
        <v>123</v>
      </c>
      <c r="I30" s="99" t="s">
        <v>124</v>
      </c>
    </row>
    <row r="31" spans="1:9" x14ac:dyDescent="0.2">
      <c r="A31" s="36" t="s">
        <v>120</v>
      </c>
      <c r="B31" s="100">
        <f t="shared" ref="B31:G31" si="2">B29*B30/2205</f>
        <v>0</v>
      </c>
      <c r="C31" s="100">
        <f t="shared" si="2"/>
        <v>7.9836236772793949</v>
      </c>
      <c r="D31" s="100">
        <f t="shared" si="2"/>
        <v>27.793316633822165</v>
      </c>
      <c r="E31" s="100">
        <f t="shared" si="2"/>
        <v>6.6121199751914395</v>
      </c>
      <c r="F31" s="100">
        <f t="shared" si="2"/>
        <v>15.611448737897813</v>
      </c>
      <c r="G31" s="100">
        <f t="shared" si="2"/>
        <v>29.961383293961376</v>
      </c>
      <c r="H31" s="100">
        <f>SUM(B31:G31)</f>
        <v>87.961892318152195</v>
      </c>
      <c r="I31" s="100">
        <f>H31/2272*1000</f>
        <v>38.715621618905018</v>
      </c>
    </row>
    <row r="32" spans="1:9" ht="24" customHeight="1" x14ac:dyDescent="0.2">
      <c r="A32" s="59"/>
      <c r="B32" s="102"/>
      <c r="C32" s="102"/>
      <c r="D32" s="102"/>
      <c r="E32" s="102"/>
      <c r="F32" s="102"/>
      <c r="G32" s="102"/>
    </row>
    <row r="33" spans="1:9" x14ac:dyDescent="0.2">
      <c r="A33" s="6" t="s">
        <v>38</v>
      </c>
      <c r="D33" s="8"/>
      <c r="E33" s="8"/>
      <c r="F33" s="8"/>
      <c r="G33" s="8"/>
    </row>
    <row r="34" spans="1:9" x14ac:dyDescent="0.2">
      <c r="A34" s="7" t="s">
        <v>52</v>
      </c>
      <c r="B34" s="23" t="s">
        <v>53</v>
      </c>
      <c r="D34" s="8"/>
      <c r="E34" s="8"/>
      <c r="F34" s="8"/>
      <c r="G34" s="8"/>
    </row>
    <row r="35" spans="1:9" x14ac:dyDescent="0.2">
      <c r="A35" s="6"/>
      <c r="D35" s="8"/>
      <c r="E35" s="8"/>
      <c r="F35" s="8"/>
      <c r="G35" s="8"/>
    </row>
    <row r="36" spans="1:9" x14ac:dyDescent="0.2">
      <c r="A36" s="107" t="s">
        <v>75</v>
      </c>
      <c r="B36" s="91" t="s">
        <v>78</v>
      </c>
      <c r="C36" s="23"/>
      <c r="D36" s="102"/>
      <c r="E36" s="102"/>
      <c r="F36" s="102"/>
      <c r="G36" s="102"/>
      <c r="H36" s="109"/>
      <c r="I36" s="109"/>
    </row>
    <row r="37" spans="1:9" x14ac:dyDescent="0.2">
      <c r="A37" s="92"/>
      <c r="B37" s="91" t="s">
        <v>24</v>
      </c>
      <c r="D37" s="101"/>
      <c r="F37" s="101"/>
      <c r="G37" s="101"/>
      <c r="H37" s="108"/>
      <c r="I37" s="109"/>
    </row>
    <row r="38" spans="1:9" x14ac:dyDescent="0.2">
      <c r="A38" s="92"/>
      <c r="B38" s="91" t="s">
        <v>23</v>
      </c>
      <c r="C38" s="13"/>
      <c r="D38" s="110"/>
      <c r="E38" s="110"/>
      <c r="F38" s="59"/>
      <c r="G38" s="59"/>
      <c r="H38" s="59"/>
      <c r="I38" s="59"/>
    </row>
    <row r="39" spans="1:9" x14ac:dyDescent="0.2">
      <c r="C39" s="13"/>
      <c r="D39" s="19"/>
      <c r="E39" s="19"/>
      <c r="H39" s="59"/>
      <c r="I39" s="59"/>
    </row>
    <row r="40" spans="1:9" x14ac:dyDescent="0.2">
      <c r="A40" s="87" t="s">
        <v>77</v>
      </c>
      <c r="B40" s="61" t="s">
        <v>79</v>
      </c>
      <c r="C40" s="62"/>
      <c r="D40" s="19"/>
      <c r="E40" s="19"/>
    </row>
    <row r="41" spans="1:9" x14ac:dyDescent="0.2">
      <c r="A41" s="87"/>
      <c r="B41" s="24" t="s">
        <v>21</v>
      </c>
      <c r="C41" s="4"/>
      <c r="D41" s="19"/>
      <c r="E41" s="19"/>
    </row>
    <row r="42" spans="1:9" x14ac:dyDescent="0.2">
      <c r="B42" s="61" t="s">
        <v>73</v>
      </c>
      <c r="C42" s="61"/>
    </row>
    <row r="43" spans="1:9" x14ac:dyDescent="0.2">
      <c r="C43" s="110"/>
    </row>
    <row r="44" spans="1:9" ht="25.5" x14ac:dyDescent="0.2">
      <c r="A44" s="116" t="s">
        <v>121</v>
      </c>
      <c r="B44" s="117" t="s">
        <v>132</v>
      </c>
      <c r="C44" s="19"/>
    </row>
    <row r="45" spans="1:9" x14ac:dyDescent="0.2">
      <c r="A45" s="117"/>
      <c r="B45" s="117" t="s">
        <v>181</v>
      </c>
      <c r="C45" s="19"/>
    </row>
    <row r="46" spans="1:9" x14ac:dyDescent="0.2">
      <c r="A46" s="117"/>
      <c r="B46" s="117" t="s">
        <v>182</v>
      </c>
    </row>
    <row r="47" spans="1:9" x14ac:dyDescent="0.2">
      <c r="A47" s="117"/>
      <c r="B47" s="117" t="s">
        <v>131</v>
      </c>
    </row>
    <row r="48" spans="1:9" x14ac:dyDescent="0.2">
      <c r="A48" s="117"/>
      <c r="B48" s="26" t="s">
        <v>180</v>
      </c>
      <c r="C48" s="177">
        <v>2.2046226199999999</v>
      </c>
    </row>
    <row r="49" spans="1:5" x14ac:dyDescent="0.2">
      <c r="A49" s="117"/>
      <c r="B49" s="26" t="s">
        <v>179</v>
      </c>
      <c r="C49" s="177">
        <v>10.7639104</v>
      </c>
    </row>
    <row r="50" spans="1:5" x14ac:dyDescent="0.2">
      <c r="A50" s="60"/>
      <c r="B50" s="60"/>
    </row>
    <row r="51" spans="1:5" ht="25.5" x14ac:dyDescent="0.2">
      <c r="A51" s="118" t="s">
        <v>119</v>
      </c>
      <c r="B51" s="119" t="s">
        <v>117</v>
      </c>
    </row>
    <row r="52" spans="1:5" x14ac:dyDescent="0.2">
      <c r="A52" s="119"/>
      <c r="B52" s="119" t="s">
        <v>118</v>
      </c>
    </row>
    <row r="53" spans="1:5" x14ac:dyDescent="0.2">
      <c r="A53" s="119"/>
      <c r="B53" s="119" t="s">
        <v>130</v>
      </c>
    </row>
    <row r="54" spans="1:5" x14ac:dyDescent="0.2">
      <c r="A54" s="119"/>
      <c r="B54" s="119" t="s">
        <v>129</v>
      </c>
    </row>
    <row r="55" spans="1:5" x14ac:dyDescent="0.2">
      <c r="A55" s="60"/>
    </row>
    <row r="56" spans="1:5" x14ac:dyDescent="0.2">
      <c r="A56" s="60"/>
      <c r="B56" s="60"/>
      <c r="C56" s="19"/>
      <c r="D56" s="19"/>
      <c r="E56" s="19"/>
    </row>
    <row r="57" spans="1:5" x14ac:dyDescent="0.2">
      <c r="A57" s="120" t="s">
        <v>136</v>
      </c>
      <c r="B57" s="120" t="s">
        <v>133</v>
      </c>
      <c r="C57" s="19"/>
      <c r="D57" s="19"/>
      <c r="E57" s="19"/>
    </row>
    <row r="58" spans="1:5" x14ac:dyDescent="0.2">
      <c r="A58" s="120"/>
      <c r="B58" s="120" t="s">
        <v>135</v>
      </c>
      <c r="C58" s="19"/>
      <c r="D58" s="19"/>
      <c r="E58" s="19"/>
    </row>
    <row r="59" spans="1:5" x14ac:dyDescent="0.2">
      <c r="A59" s="120"/>
      <c r="B59" s="120" t="s">
        <v>134</v>
      </c>
      <c r="C59" s="19"/>
      <c r="D59" s="19"/>
      <c r="E59" s="19"/>
    </row>
    <row r="60" spans="1:5" x14ac:dyDescent="0.2">
      <c r="A60" s="121"/>
      <c r="B60" s="121"/>
      <c r="C60" s="22"/>
      <c r="D60" s="22"/>
      <c r="E60" s="22"/>
    </row>
    <row r="61" spans="1:5" x14ac:dyDescent="0.2">
      <c r="A61" s="174" t="s">
        <v>175</v>
      </c>
    </row>
    <row r="62" spans="1:5" ht="25.5" x14ac:dyDescent="0.2">
      <c r="A62" s="175" t="s">
        <v>174</v>
      </c>
      <c r="B62" s="174">
        <v>50</v>
      </c>
      <c r="C62" s="174" t="s">
        <v>177</v>
      </c>
    </row>
    <row r="64" spans="1:5" x14ac:dyDescent="0.2">
      <c r="C64" s="26"/>
      <c r="D64" s="26"/>
      <c r="E64" s="26"/>
    </row>
    <row r="65" spans="1:7" x14ac:dyDescent="0.2">
      <c r="A65" s="174"/>
      <c r="C65" s="26"/>
      <c r="D65" s="26"/>
      <c r="E65" s="26"/>
    </row>
    <row r="66" spans="1:7" x14ac:dyDescent="0.2">
      <c r="B66" s="168"/>
      <c r="C66" s="26"/>
      <c r="D66" s="26"/>
      <c r="E66" s="26"/>
    </row>
    <row r="67" spans="1:7" x14ac:dyDescent="0.2">
      <c r="B67" s="167"/>
      <c r="C67" s="26"/>
      <c r="D67" s="26"/>
      <c r="E67" s="26"/>
    </row>
    <row r="68" spans="1:7" x14ac:dyDescent="0.2">
      <c r="B68" s="167"/>
    </row>
    <row r="69" spans="1:7" x14ac:dyDescent="0.2">
      <c r="B69" s="167"/>
      <c r="C69" s="21"/>
    </row>
    <row r="70" spans="1:7" x14ac:dyDescent="0.2">
      <c r="B70" s="167"/>
      <c r="C70" s="19"/>
      <c r="G70" s="2"/>
    </row>
    <row r="71" spans="1:7" x14ac:dyDescent="0.2">
      <c r="B71" s="167"/>
      <c r="C71" s="19"/>
      <c r="G71" s="25"/>
    </row>
    <row r="72" spans="1:7" x14ac:dyDescent="0.2">
      <c r="B72" s="167"/>
      <c r="C72" s="19"/>
      <c r="G72" s="2"/>
    </row>
    <row r="73" spans="1:7" x14ac:dyDescent="0.2">
      <c r="B73" s="167"/>
      <c r="C73" s="19"/>
    </row>
    <row r="74" spans="1:7" x14ac:dyDescent="0.2">
      <c r="B74" s="167"/>
      <c r="C74" s="19"/>
    </row>
    <row r="75" spans="1:7" x14ac:dyDescent="0.2">
      <c r="B75" s="167"/>
      <c r="C75" s="19"/>
    </row>
    <row r="76" spans="1:7" x14ac:dyDescent="0.2">
      <c r="B76" s="167"/>
      <c r="C76" s="19"/>
    </row>
    <row r="77" spans="1:7" x14ac:dyDescent="0.2">
      <c r="B77" s="167"/>
      <c r="C77" s="19"/>
    </row>
    <row r="78" spans="1:7" x14ac:dyDescent="0.2">
      <c r="B78" s="167"/>
      <c r="C78" s="19"/>
    </row>
    <row r="79" spans="1:7" x14ac:dyDescent="0.2">
      <c r="B79" s="167"/>
      <c r="C79" s="19"/>
    </row>
    <row r="80" spans="1:7" x14ac:dyDescent="0.2">
      <c r="B80" s="167"/>
      <c r="C80" s="19"/>
      <c r="D80" s="19"/>
    </row>
    <row r="81" spans="2:6" x14ac:dyDescent="0.2">
      <c r="B81" s="167"/>
    </row>
    <row r="82" spans="2:6" x14ac:dyDescent="0.2">
      <c r="B82" s="167"/>
    </row>
    <row r="83" spans="2:6" x14ac:dyDescent="0.2">
      <c r="B83" s="167"/>
    </row>
    <row r="84" spans="2:6" x14ac:dyDescent="0.2">
      <c r="B84" s="167"/>
    </row>
    <row r="85" spans="2:6" x14ac:dyDescent="0.2">
      <c r="B85" s="167"/>
    </row>
    <row r="86" spans="2:6" x14ac:dyDescent="0.2">
      <c r="B86" s="168"/>
    </row>
    <row r="87" spans="2:6" x14ac:dyDescent="0.2">
      <c r="B87" s="167"/>
      <c r="C87" s="1"/>
      <c r="D87" s="1"/>
      <c r="E87" s="1"/>
      <c r="F87" s="1"/>
    </row>
    <row r="88" spans="2:6" x14ac:dyDescent="0.2">
      <c r="B88" s="176"/>
      <c r="C88" s="1"/>
      <c r="D88" s="1"/>
      <c r="E88" s="1"/>
      <c r="F88" s="1"/>
    </row>
    <row r="89" spans="2:6" x14ac:dyDescent="0.2">
      <c r="B89" s="167"/>
      <c r="C89" s="1"/>
      <c r="D89" s="1"/>
      <c r="E89" s="1"/>
      <c r="F89" s="1"/>
    </row>
    <row r="90" spans="2:6" x14ac:dyDescent="0.2">
      <c r="B90" s="167"/>
    </row>
    <row r="91" spans="2:6" x14ac:dyDescent="0.2">
      <c r="B91" s="167"/>
    </row>
    <row r="92" spans="2:6" x14ac:dyDescent="0.2">
      <c r="B92" s="167"/>
    </row>
    <row r="93" spans="2:6" x14ac:dyDescent="0.2">
      <c r="B93" s="167"/>
    </row>
    <row r="94" spans="2:6" x14ac:dyDescent="0.2">
      <c r="B94" s="167"/>
    </row>
    <row r="95" spans="2:6" x14ac:dyDescent="0.2">
      <c r="B95" s="176"/>
    </row>
    <row r="96" spans="2:6" x14ac:dyDescent="0.2">
      <c r="B96" s="176"/>
    </row>
    <row r="97" spans="2:2" x14ac:dyDescent="0.2">
      <c r="B97" s="167"/>
    </row>
    <row r="98" spans="2:2" x14ac:dyDescent="0.2">
      <c r="B98" s="167"/>
    </row>
  </sheetData>
  <sheetProtection algorithmName="SHA-512" hashValue="tWEfDFReMAnYUONzguJAbNm5mhIOQrvsryHXg67EL1X+bzB8QF89nm2tWWFPePcuiVFk8Ex8rJDuTge4bLPb3w==" saltValue="kScphGub9rskHZMnmER7iQ==" spinCount="100000" sheet="1" objects="1" scenarios="1" selectLockedCells="1" selectUnlockedCells="1"/>
  <phoneticPr fontId="3" type="noConversion"/>
  <pageMargins left="0.75" right="0.75" top="1.25" bottom="0.75" header="0.5" footer="0.5"/>
  <pageSetup scale="54" fitToHeight="2" orientation="landscape" horizontalDpi="525" verticalDpi="525" r:id="rId1"/>
  <headerFooter alignWithMargins="0">
    <oddHeader>&amp;C&amp;G</oddHeader>
    <oddFooter>&amp;LDepartment of Local Services, Permitting Division
35030 SE Douglas Street, Suite 210
Snoqualmie, WA  98065-9266&amp;CMarch 2019&amp;R206-296-6600
   TTY Relay:  711
www.kingcounty.gov</oddFooter>
  </headerFooter>
  <drawing r:id="rId2"/>
  <legacyDrawing r:id="rId3"/>
  <legacyDrawingHF r:id="rId4"/>
  <oleObjects>
    <mc:AlternateContent xmlns:mc="http://schemas.openxmlformats.org/markup-compatibility/2006">
      <mc:Choice Requires="x14">
        <oleObject progId="Word.Document.8" shapeId="2049" r:id="rId5">
          <objectPr defaultSize="0" r:id="rId6">
            <anchor moveWithCells="1">
              <from>
                <xdr:col>3</xdr:col>
                <xdr:colOff>1095375</xdr:colOff>
                <xdr:row>63</xdr:row>
                <xdr:rowOff>85725</xdr:rowOff>
              </from>
              <to>
                <xdr:col>13</xdr:col>
                <xdr:colOff>495300</xdr:colOff>
                <xdr:row>122</xdr:row>
                <xdr:rowOff>0</xdr:rowOff>
              </to>
            </anchor>
          </objectPr>
        </oleObject>
      </mc:Choice>
      <mc:Fallback>
        <oleObject progId="Word.Document.8" shapeId="2049" r:id="rId5"/>
      </mc:Fallback>
    </mc:AlternateContent>
    <mc:AlternateContent xmlns:mc="http://schemas.openxmlformats.org/markup-compatibility/2006">
      <mc:Choice Requires="x14">
        <oleObject progId="Word.Document.8" shapeId="2050" r:id="rId7">
          <objectPr defaultSize="0" autoPict="0" r:id="rId8">
            <anchor moveWithCells="1">
              <from>
                <xdr:col>0</xdr:col>
                <xdr:colOff>28575</xdr:colOff>
                <xdr:row>63</xdr:row>
                <xdr:rowOff>66675</xdr:rowOff>
              </from>
              <to>
                <xdr:col>3</xdr:col>
                <xdr:colOff>809625</xdr:colOff>
                <xdr:row>120</xdr:row>
                <xdr:rowOff>152400</xdr:rowOff>
              </to>
            </anchor>
          </objectPr>
        </oleObject>
      </mc:Choice>
      <mc:Fallback>
        <oleObject progId="Word.Document.8" shapeId="2050" r:id="rId7"/>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69"/>
  <sheetViews>
    <sheetView topLeftCell="A31" zoomScale="75" zoomScaleNormal="100" workbookViewId="0">
      <selection activeCell="K8" sqref="K8"/>
    </sheetView>
  </sheetViews>
  <sheetFormatPr defaultRowHeight="12.75" x14ac:dyDescent="0.2"/>
  <cols>
    <col min="1" max="1" width="9.140625" style="7"/>
    <col min="2" max="2" width="32.140625" style="7" customWidth="1"/>
    <col min="3" max="4" width="14.42578125" style="7" customWidth="1"/>
    <col min="5" max="5" width="15" style="7" customWidth="1"/>
    <col min="6" max="6" width="14.28515625" style="7" customWidth="1"/>
    <col min="7" max="7" width="13.7109375" style="7" customWidth="1"/>
    <col min="8" max="8" width="16.42578125" style="7" customWidth="1"/>
    <col min="9" max="9" width="12.42578125" style="7" customWidth="1"/>
    <col min="10" max="10" width="16" style="7" customWidth="1"/>
    <col min="11" max="11" width="18.42578125" style="7" customWidth="1"/>
    <col min="12" max="12" width="15.140625" style="7" customWidth="1"/>
    <col min="13" max="13" width="17" style="7" customWidth="1"/>
    <col min="14" max="15" width="9.140625" style="7"/>
    <col min="16" max="16" width="11.85546875" style="7" customWidth="1"/>
    <col min="17" max="16384" width="9.140625" style="7"/>
  </cols>
  <sheetData>
    <row r="2" spans="2:15" x14ac:dyDescent="0.2">
      <c r="B2" s="163" t="s">
        <v>156</v>
      </c>
      <c r="C2" s="43"/>
      <c r="D2" s="43"/>
      <c r="E2" s="43"/>
      <c r="F2" s="1"/>
      <c r="G2" s="44"/>
      <c r="H2" s="45"/>
      <c r="I2" s="46"/>
      <c r="J2" s="46"/>
      <c r="K2" s="47"/>
      <c r="L2" s="48"/>
      <c r="O2" s="49"/>
    </row>
    <row r="3" spans="2:15" ht="63.75" x14ac:dyDescent="0.2">
      <c r="B3" s="81" t="s">
        <v>125</v>
      </c>
      <c r="C3" s="79" t="s">
        <v>20</v>
      </c>
      <c r="D3" s="79" t="s">
        <v>70</v>
      </c>
      <c r="E3" s="80" t="s">
        <v>17</v>
      </c>
      <c r="F3" s="36" t="s">
        <v>3</v>
      </c>
      <c r="G3" s="79" t="s">
        <v>18</v>
      </c>
      <c r="H3" s="81" t="s">
        <v>19</v>
      </c>
      <c r="I3" s="36" t="s">
        <v>40</v>
      </c>
      <c r="J3" s="80" t="s">
        <v>63</v>
      </c>
      <c r="K3" s="80" t="s">
        <v>64</v>
      </c>
      <c r="L3" s="50"/>
      <c r="M3" s="59"/>
      <c r="N3" s="59"/>
      <c r="O3" s="59"/>
    </row>
    <row r="4" spans="2:15" x14ac:dyDescent="0.2">
      <c r="B4" s="105" t="s">
        <v>58</v>
      </c>
      <c r="C4" s="89">
        <v>107.3</v>
      </c>
      <c r="D4" s="51">
        <f>0.02951*44/12</f>
        <v>0.10820333333333333</v>
      </c>
      <c r="E4" s="52">
        <f>C4*D4</f>
        <v>11.610217666666665</v>
      </c>
      <c r="F4" s="106">
        <f>2527/1000</f>
        <v>2.5270000000000001</v>
      </c>
      <c r="G4" s="53">
        <f t="shared" ref="G4:G22" si="0">E4/F4</f>
        <v>4.594466824957129</v>
      </c>
      <c r="H4" s="5">
        <f>G4*44/12</f>
        <v>16.846378358176139</v>
      </c>
      <c r="I4" s="146">
        <f>D54</f>
        <v>57.89473684210526</v>
      </c>
      <c r="J4" s="54">
        <f>E4*I4</f>
        <v>672.17049649122794</v>
      </c>
      <c r="K4" s="55">
        <f>G4*I4</f>
        <v>265.99544776067586</v>
      </c>
      <c r="M4" s="59"/>
      <c r="N4" s="59"/>
      <c r="O4" s="59"/>
    </row>
    <row r="5" spans="2:15" x14ac:dyDescent="0.2">
      <c r="B5" s="105" t="s">
        <v>83</v>
      </c>
      <c r="C5" s="89">
        <v>41</v>
      </c>
      <c r="D5" s="51">
        <f>0.02951*44/12</f>
        <v>0.10820333333333333</v>
      </c>
      <c r="E5" s="52">
        <f>C5*D5</f>
        <v>4.4363366666666666</v>
      </c>
      <c r="F5" s="106">
        <f>847/1000</f>
        <v>0.84699999999999998</v>
      </c>
      <c r="G5" s="53">
        <f t="shared" si="0"/>
        <v>5.237705627705628</v>
      </c>
      <c r="H5" s="5">
        <f>G5*44/12</f>
        <v>19.204920634920637</v>
      </c>
      <c r="I5" s="146">
        <f>E54</f>
        <v>80.547112462006083</v>
      </c>
      <c r="J5" s="54">
        <f t="shared" ref="J5:J22" si="1">E5*I5</f>
        <v>357.33410840932117</v>
      </c>
      <c r="K5" s="55">
        <f t="shared" ref="K5:K22" si="2">G5*I5</f>
        <v>421.88206423768736</v>
      </c>
      <c r="M5" s="59"/>
      <c r="N5" s="59"/>
      <c r="O5" s="59"/>
    </row>
    <row r="6" spans="2:15" x14ac:dyDescent="0.2">
      <c r="B6" s="105" t="s">
        <v>85</v>
      </c>
      <c r="C6" s="89">
        <v>78.099999999999994</v>
      </c>
      <c r="D6" s="51">
        <f>0.02951*44/12</f>
        <v>0.10820333333333333</v>
      </c>
      <c r="E6" s="52">
        <f>C6*D6</f>
        <v>8.4506803333333327</v>
      </c>
      <c r="F6" s="106">
        <v>1.393</v>
      </c>
      <c r="G6" s="53">
        <f t="shared" si="0"/>
        <v>6.0665329026082793</v>
      </c>
      <c r="H6" s="5">
        <f>G6*44/12</f>
        <v>22.243953976230358</v>
      </c>
      <c r="I6" s="146">
        <f>E54</f>
        <v>80.547112462006083</v>
      </c>
      <c r="J6" s="54">
        <f t="shared" si="1"/>
        <v>680.67789918946301</v>
      </c>
      <c r="K6" s="55">
        <f t="shared" si="2"/>
        <v>488.64170796084926</v>
      </c>
      <c r="M6" s="59"/>
      <c r="N6" s="59"/>
      <c r="O6" s="59"/>
    </row>
    <row r="7" spans="2:15" x14ac:dyDescent="0.2">
      <c r="B7" s="105" t="s">
        <v>59</v>
      </c>
      <c r="C7" s="89">
        <v>75.900000000000006</v>
      </c>
      <c r="D7" s="51">
        <f>0.02951*44/12</f>
        <v>0.10820333333333333</v>
      </c>
      <c r="E7" s="52">
        <f>C7*D7</f>
        <v>8.2126330000000003</v>
      </c>
      <c r="F7" s="106">
        <f>1062/1000</f>
        <v>1.0620000000000001</v>
      </c>
      <c r="G7" s="53">
        <f>E7/F7</f>
        <v>7.7331760828625233</v>
      </c>
      <c r="H7" s="5">
        <f>G7*44/12</f>
        <v>28.354978970495921</v>
      </c>
      <c r="I7" s="146">
        <f>D54</f>
        <v>57.89473684210526</v>
      </c>
      <c r="J7" s="54">
        <f>E7*I7</f>
        <v>475.46822631578948</v>
      </c>
      <c r="K7" s="55">
        <f>G7*I7</f>
        <v>447.71019427098815</v>
      </c>
      <c r="M7" s="59"/>
      <c r="N7" s="59"/>
      <c r="O7" s="59"/>
    </row>
    <row r="8" spans="2:15" x14ac:dyDescent="0.2">
      <c r="B8" s="90" t="s">
        <v>4</v>
      </c>
      <c r="C8" s="66">
        <v>2125</v>
      </c>
      <c r="D8" s="40">
        <f>0.03391*44/12</f>
        <v>0.12433666666666666</v>
      </c>
      <c r="E8" s="41">
        <f>C8*D8</f>
        <v>264.21541666666667</v>
      </c>
      <c r="F8" s="67">
        <v>25.6</v>
      </c>
      <c r="G8" s="53">
        <f t="shared" si="0"/>
        <v>10.320914713541667</v>
      </c>
      <c r="H8" s="5">
        <f t="shared" ref="H8:H22" si="3">G8*44/12</f>
        <v>37.84335394965278</v>
      </c>
      <c r="I8" s="156">
        <f t="shared" ref="I8:I22" si="4">F$54</f>
        <v>62.546816479400746</v>
      </c>
      <c r="J8" s="54">
        <f t="shared" si="1"/>
        <v>16525.8331772784</v>
      </c>
      <c r="K8" s="55">
        <f>G8*I8</f>
        <v>645.54035848743752</v>
      </c>
      <c r="M8" s="59"/>
      <c r="N8" s="59"/>
      <c r="O8" s="59"/>
    </row>
    <row r="9" spans="2:15" x14ac:dyDescent="0.2">
      <c r="B9" s="90" t="s">
        <v>5</v>
      </c>
      <c r="C9" s="67">
        <v>1110</v>
      </c>
      <c r="D9" s="40">
        <f t="shared" ref="D9:D22" si="5">0.03391*44/12</f>
        <v>0.12433666666666666</v>
      </c>
      <c r="E9" s="5">
        <f t="shared" ref="E9:E22" si="6">C9*D9</f>
        <v>138.0137</v>
      </c>
      <c r="F9" s="67">
        <v>5.6</v>
      </c>
      <c r="G9" s="53">
        <f t="shared" si="0"/>
        <v>24.645303571428574</v>
      </c>
      <c r="H9" s="5">
        <f t="shared" si="3"/>
        <v>90.366113095238106</v>
      </c>
      <c r="I9" s="156">
        <f t="shared" si="4"/>
        <v>62.546816479400746</v>
      </c>
      <c r="J9" s="54">
        <f t="shared" si="1"/>
        <v>8632.3175655430714</v>
      </c>
      <c r="K9" s="55">
        <f t="shared" si="2"/>
        <v>1541.4852795612628</v>
      </c>
      <c r="M9" s="59"/>
      <c r="N9" s="59"/>
      <c r="O9" s="59"/>
    </row>
    <row r="10" spans="2:15" x14ac:dyDescent="0.2">
      <c r="B10" s="90" t="s">
        <v>6</v>
      </c>
      <c r="C10" s="67">
        <v>1436</v>
      </c>
      <c r="D10" s="40">
        <f t="shared" si="5"/>
        <v>0.12433666666666666</v>
      </c>
      <c r="E10" s="5">
        <f t="shared" si="6"/>
        <v>178.54745333333332</v>
      </c>
      <c r="F10" s="67">
        <v>5.6</v>
      </c>
      <c r="G10" s="53">
        <f t="shared" si="0"/>
        <v>31.88347380952381</v>
      </c>
      <c r="H10" s="5">
        <f t="shared" si="3"/>
        <v>116.90607063492064</v>
      </c>
      <c r="I10" s="156">
        <f t="shared" si="4"/>
        <v>62.546816479400746</v>
      </c>
      <c r="J10" s="54">
        <f t="shared" si="1"/>
        <v>11167.574796504368</v>
      </c>
      <c r="K10" s="55">
        <f t="shared" si="2"/>
        <v>1994.2097850900659</v>
      </c>
      <c r="M10" s="59"/>
      <c r="N10" s="59"/>
      <c r="O10" s="59"/>
    </row>
    <row r="11" spans="2:15" x14ac:dyDescent="0.2">
      <c r="B11" s="34" t="s">
        <v>127</v>
      </c>
      <c r="C11" s="66">
        <v>60152</v>
      </c>
      <c r="D11" s="40">
        <f t="shared" si="5"/>
        <v>0.12433666666666666</v>
      </c>
      <c r="E11" s="41">
        <f t="shared" si="6"/>
        <v>7479.0991733333331</v>
      </c>
      <c r="F11" s="67">
        <v>241.4</v>
      </c>
      <c r="G11" s="53">
        <f t="shared" si="0"/>
        <v>30.982183816625241</v>
      </c>
      <c r="H11" s="5">
        <f t="shared" si="3"/>
        <v>113.60134066095922</v>
      </c>
      <c r="I11" s="156">
        <f t="shared" si="4"/>
        <v>62.546816479400746</v>
      </c>
      <c r="J11" s="54">
        <f t="shared" si="1"/>
        <v>467793.84342571779</v>
      </c>
      <c r="K11" s="55">
        <f t="shared" si="2"/>
        <v>1937.8369653095187</v>
      </c>
      <c r="M11" s="59"/>
      <c r="N11" s="59"/>
      <c r="O11" s="59"/>
    </row>
    <row r="12" spans="2:15" x14ac:dyDescent="0.2">
      <c r="B12" s="34" t="s">
        <v>126</v>
      </c>
      <c r="C12" s="67">
        <v>985</v>
      </c>
      <c r="D12" s="40">
        <f t="shared" si="5"/>
        <v>0.12433666666666666</v>
      </c>
      <c r="E12" s="5">
        <f t="shared" si="6"/>
        <v>122.47161666666666</v>
      </c>
      <c r="F12" s="67">
        <v>10.4</v>
      </c>
      <c r="G12" s="53">
        <f t="shared" si="0"/>
        <v>11.776116987179487</v>
      </c>
      <c r="H12" s="5">
        <f t="shared" si="3"/>
        <v>43.179095619658113</v>
      </c>
      <c r="I12" s="156">
        <f t="shared" si="4"/>
        <v>62.546816479400746</v>
      </c>
      <c r="J12" s="54">
        <f t="shared" si="1"/>
        <v>7660.2097315855171</v>
      </c>
      <c r="K12" s="55">
        <f t="shared" si="2"/>
        <v>736.55862803706896</v>
      </c>
      <c r="M12" s="59"/>
      <c r="N12" s="59"/>
      <c r="O12" s="59"/>
    </row>
    <row r="13" spans="2:15" x14ac:dyDescent="0.2">
      <c r="B13" s="90" t="s">
        <v>7</v>
      </c>
      <c r="C13" s="67">
        <v>3578</v>
      </c>
      <c r="D13" s="40">
        <f t="shared" si="5"/>
        <v>0.12433666666666666</v>
      </c>
      <c r="E13" s="5">
        <f t="shared" si="6"/>
        <v>444.87659333333335</v>
      </c>
      <c r="F13" s="67">
        <v>35.799999999999997</v>
      </c>
      <c r="G13" s="53">
        <f t="shared" si="0"/>
        <v>12.426720484171323</v>
      </c>
      <c r="H13" s="5">
        <f t="shared" si="3"/>
        <v>45.564641775294852</v>
      </c>
      <c r="I13" s="156">
        <f t="shared" si="4"/>
        <v>62.546816479400746</v>
      </c>
      <c r="J13" s="54">
        <f t="shared" si="1"/>
        <v>27825.614639200998</v>
      </c>
      <c r="K13" s="55">
        <f t="shared" si="2"/>
        <v>777.2518055642737</v>
      </c>
      <c r="M13" s="59"/>
      <c r="N13" s="59"/>
      <c r="O13" s="59"/>
    </row>
    <row r="14" spans="2:15" x14ac:dyDescent="0.2">
      <c r="B14" s="90" t="s">
        <v>8</v>
      </c>
      <c r="C14" s="67">
        <v>720</v>
      </c>
      <c r="D14" s="40">
        <f t="shared" si="5"/>
        <v>0.12433666666666666</v>
      </c>
      <c r="E14" s="5">
        <f t="shared" si="6"/>
        <v>89.522400000000005</v>
      </c>
      <c r="F14" s="67">
        <v>9.6999999999999993</v>
      </c>
      <c r="G14" s="53">
        <f t="shared" si="0"/>
        <v>9.2291134020618575</v>
      </c>
      <c r="H14" s="5">
        <f t="shared" si="3"/>
        <v>33.840082474226811</v>
      </c>
      <c r="I14" s="156">
        <f t="shared" si="4"/>
        <v>62.546816479400746</v>
      </c>
      <c r="J14" s="54">
        <f t="shared" si="1"/>
        <v>5599.3411235955055</v>
      </c>
      <c r="K14" s="55">
        <f t="shared" si="2"/>
        <v>577.25166222634084</v>
      </c>
      <c r="M14" s="59"/>
      <c r="N14" s="59"/>
      <c r="O14" s="59"/>
    </row>
    <row r="15" spans="2:15" x14ac:dyDescent="0.2">
      <c r="B15" s="90" t="s">
        <v>9</v>
      </c>
      <c r="C15" s="66">
        <v>1376</v>
      </c>
      <c r="D15" s="40">
        <f t="shared" si="5"/>
        <v>0.12433666666666666</v>
      </c>
      <c r="E15" s="41">
        <f t="shared" si="6"/>
        <v>171.08725333333334</v>
      </c>
      <c r="F15" s="67">
        <v>14.8</v>
      </c>
      <c r="G15" s="53">
        <f t="shared" si="0"/>
        <v>11.559949549549549</v>
      </c>
      <c r="H15" s="5">
        <f t="shared" si="3"/>
        <v>42.38648168168168</v>
      </c>
      <c r="I15" s="156">
        <f t="shared" si="4"/>
        <v>62.546816479400746</v>
      </c>
      <c r="J15" s="54">
        <f t="shared" si="1"/>
        <v>10700.963036204745</v>
      </c>
      <c r="K15" s="55">
        <f t="shared" si="2"/>
        <v>723.03804298680689</v>
      </c>
      <c r="M15" s="59"/>
      <c r="N15" s="59"/>
      <c r="O15" s="59"/>
    </row>
    <row r="16" spans="2:15" ht="14.25" customHeight="1" x14ac:dyDescent="0.2">
      <c r="B16" s="90" t="s">
        <v>10</v>
      </c>
      <c r="C16" s="67">
        <v>1338</v>
      </c>
      <c r="D16" s="40">
        <f t="shared" si="5"/>
        <v>0.12433666666666666</v>
      </c>
      <c r="E16" s="5">
        <f t="shared" si="6"/>
        <v>166.36246</v>
      </c>
      <c r="F16" s="67">
        <v>14.2</v>
      </c>
      <c r="G16" s="53">
        <f t="shared" si="0"/>
        <v>11.715666197183099</v>
      </c>
      <c r="H16" s="5">
        <f t="shared" si="3"/>
        <v>42.957442723004696</v>
      </c>
      <c r="I16" s="156">
        <f t="shared" si="4"/>
        <v>62.546816479400746</v>
      </c>
      <c r="J16" s="54">
        <f t="shared" si="1"/>
        <v>10405.442254681648</v>
      </c>
      <c r="K16" s="55">
        <f t="shared" si="2"/>
        <v>732.77762356913013</v>
      </c>
      <c r="M16" s="68"/>
      <c r="N16" s="59"/>
      <c r="O16" s="59"/>
    </row>
    <row r="17" spans="2:16" x14ac:dyDescent="0.2">
      <c r="B17" s="90" t="s">
        <v>11</v>
      </c>
      <c r="C17" s="67">
        <v>1791</v>
      </c>
      <c r="D17" s="40">
        <f t="shared" si="5"/>
        <v>0.12433666666666666</v>
      </c>
      <c r="E17" s="5">
        <f t="shared" si="6"/>
        <v>222.68697</v>
      </c>
      <c r="F17" s="67">
        <v>15.5</v>
      </c>
      <c r="G17" s="53">
        <f t="shared" si="0"/>
        <v>14.366901290322581</v>
      </c>
      <c r="H17" s="5">
        <f t="shared" si="3"/>
        <v>52.678638064516129</v>
      </c>
      <c r="I17" s="156">
        <f t="shared" si="4"/>
        <v>62.546816479400746</v>
      </c>
      <c r="J17" s="54">
        <f t="shared" si="1"/>
        <v>13928.36104494382</v>
      </c>
      <c r="K17" s="55">
        <f t="shared" si="2"/>
        <v>898.60393838347227</v>
      </c>
      <c r="M17" s="68"/>
      <c r="N17" s="59"/>
      <c r="O17" s="59"/>
    </row>
    <row r="18" spans="2:16" x14ac:dyDescent="0.2">
      <c r="B18" s="90" t="s">
        <v>12</v>
      </c>
      <c r="C18" s="67">
        <v>440</v>
      </c>
      <c r="D18" s="40">
        <f t="shared" si="5"/>
        <v>0.12433666666666666</v>
      </c>
      <c r="E18" s="5">
        <f t="shared" si="6"/>
        <v>54.708133333333329</v>
      </c>
      <c r="F18" s="67">
        <v>10.1</v>
      </c>
      <c r="G18" s="53">
        <f t="shared" si="0"/>
        <v>5.4166468646864683</v>
      </c>
      <c r="H18" s="5">
        <f t="shared" si="3"/>
        <v>19.861038503850384</v>
      </c>
      <c r="I18" s="156">
        <f t="shared" si="4"/>
        <v>62.546816479400746</v>
      </c>
      <c r="J18" s="54">
        <f t="shared" si="1"/>
        <v>3421.8195755305865</v>
      </c>
      <c r="K18" s="55">
        <f t="shared" si="2"/>
        <v>338.79401737926599</v>
      </c>
      <c r="M18" s="68"/>
      <c r="N18" s="59"/>
      <c r="O18" s="59"/>
    </row>
    <row r="19" spans="2:16" x14ac:dyDescent="0.2">
      <c r="B19" s="90" t="s">
        <v>13</v>
      </c>
      <c r="C19" s="67">
        <v>501</v>
      </c>
      <c r="D19" s="40">
        <f t="shared" si="5"/>
        <v>0.12433666666666666</v>
      </c>
      <c r="E19" s="5">
        <f t="shared" si="6"/>
        <v>62.292670000000001</v>
      </c>
      <c r="F19" s="67">
        <v>6.5</v>
      </c>
      <c r="G19" s="53">
        <f t="shared" si="0"/>
        <v>9.5834876923076919</v>
      </c>
      <c r="H19" s="5">
        <f t="shared" si="3"/>
        <v>35.139454871794868</v>
      </c>
      <c r="I19" s="156">
        <f t="shared" si="4"/>
        <v>62.546816479400746</v>
      </c>
      <c r="J19" s="54">
        <f t="shared" si="1"/>
        <v>3896.2081985018726</v>
      </c>
      <c r="K19" s="55">
        <f t="shared" si="2"/>
        <v>599.41664592336497</v>
      </c>
      <c r="M19" s="68"/>
      <c r="N19" s="59"/>
      <c r="O19" s="59"/>
    </row>
    <row r="20" spans="2:16" x14ac:dyDescent="0.2">
      <c r="B20" s="90" t="s">
        <v>14</v>
      </c>
      <c r="C20" s="67">
        <v>764</v>
      </c>
      <c r="D20" s="40">
        <f t="shared" si="5"/>
        <v>0.12433666666666666</v>
      </c>
      <c r="E20" s="5">
        <f t="shared" si="6"/>
        <v>94.99321333333333</v>
      </c>
      <c r="F20" s="67">
        <v>16.899999999999999</v>
      </c>
      <c r="G20" s="53">
        <f t="shared" si="0"/>
        <v>5.620900197238659</v>
      </c>
      <c r="H20" s="5">
        <f t="shared" si="3"/>
        <v>20.609967389875084</v>
      </c>
      <c r="I20" s="156">
        <f t="shared" si="4"/>
        <v>62.546816479400746</v>
      </c>
      <c r="J20" s="54">
        <f t="shared" si="1"/>
        <v>5941.5230811485635</v>
      </c>
      <c r="K20" s="55">
        <f t="shared" si="2"/>
        <v>351.56941308571385</v>
      </c>
      <c r="M20" s="68"/>
    </row>
    <row r="21" spans="2:16" x14ac:dyDescent="0.2">
      <c r="B21" s="90" t="s">
        <v>15</v>
      </c>
      <c r="C21" s="67">
        <v>3600</v>
      </c>
      <c r="D21" s="40">
        <f t="shared" si="5"/>
        <v>0.12433666666666666</v>
      </c>
      <c r="E21" s="5">
        <f t="shared" si="6"/>
        <v>447.61199999999997</v>
      </c>
      <c r="F21" s="67">
        <v>21.9</v>
      </c>
      <c r="G21" s="53">
        <f t="shared" si="0"/>
        <v>20.438904109589039</v>
      </c>
      <c r="H21" s="5">
        <f t="shared" si="3"/>
        <v>74.942648401826474</v>
      </c>
      <c r="I21" s="156">
        <f t="shared" si="4"/>
        <v>62.546816479400746</v>
      </c>
      <c r="J21" s="54">
        <f t="shared" si="1"/>
        <v>27996.705617977525</v>
      </c>
      <c r="K21" s="55">
        <f t="shared" si="2"/>
        <v>1278.3883843825354</v>
      </c>
      <c r="M21" s="1"/>
    </row>
    <row r="22" spans="2:16" x14ac:dyDescent="0.2">
      <c r="B22" s="90" t="s">
        <v>16</v>
      </c>
      <c r="C22" s="67">
        <v>294</v>
      </c>
      <c r="D22" s="40">
        <f t="shared" si="5"/>
        <v>0.12433666666666666</v>
      </c>
      <c r="E22" s="5">
        <f t="shared" si="6"/>
        <v>36.55498</v>
      </c>
      <c r="F22" s="67">
        <v>14.1</v>
      </c>
      <c r="G22" s="53">
        <f t="shared" si="0"/>
        <v>2.5925517730496455</v>
      </c>
      <c r="H22" s="5">
        <f t="shared" si="3"/>
        <v>9.506023167848701</v>
      </c>
      <c r="I22" s="156">
        <f t="shared" si="4"/>
        <v>62.546816479400746</v>
      </c>
      <c r="J22" s="54">
        <f t="shared" si="1"/>
        <v>2286.3976254681647</v>
      </c>
      <c r="K22" s="55">
        <f t="shared" si="2"/>
        <v>162.1558599622812</v>
      </c>
      <c r="M22" s="1"/>
    </row>
    <row r="23" spans="2:16" x14ac:dyDescent="0.2">
      <c r="M23" s="69"/>
    </row>
    <row r="24" spans="2:16" x14ac:dyDescent="0.2">
      <c r="B24" s="70"/>
      <c r="G24" s="56"/>
      <c r="H24" s="57"/>
      <c r="I24" s="58"/>
      <c r="J24" s="56"/>
      <c r="P24" s="69"/>
    </row>
    <row r="25" spans="2:16" x14ac:dyDescent="0.2">
      <c r="B25" s="6" t="s">
        <v>38</v>
      </c>
      <c r="P25" s="69"/>
    </row>
    <row r="26" spans="2:16" x14ac:dyDescent="0.2">
      <c r="B26" s="82" t="s">
        <v>52</v>
      </c>
      <c r="C26" s="23" t="s">
        <v>53</v>
      </c>
      <c r="P26" s="69"/>
    </row>
    <row r="27" spans="2:16" x14ac:dyDescent="0.2">
      <c r="B27" s="83"/>
      <c r="C27" s="59"/>
      <c r="D27" s="59"/>
      <c r="E27" s="59"/>
      <c r="F27" s="59"/>
      <c r="G27" s="59"/>
      <c r="H27" s="59"/>
      <c r="I27" s="59"/>
      <c r="P27" s="69"/>
    </row>
    <row r="28" spans="2:16" ht="25.5" x14ac:dyDescent="0.2">
      <c r="B28" s="84" t="s">
        <v>71</v>
      </c>
      <c r="C28" s="71" t="s">
        <v>80</v>
      </c>
      <c r="D28" s="37"/>
      <c r="E28" s="37"/>
      <c r="F28" s="37"/>
      <c r="G28" s="60"/>
      <c r="H28" s="60"/>
      <c r="I28" s="60"/>
      <c r="J28" s="60"/>
      <c r="P28" s="69"/>
    </row>
    <row r="29" spans="2:16" x14ac:dyDescent="0.2">
      <c r="B29" s="85"/>
      <c r="C29" s="72" t="s">
        <v>65</v>
      </c>
      <c r="E29" s="37"/>
      <c r="F29" s="37"/>
      <c r="G29" s="60"/>
      <c r="H29" s="60"/>
      <c r="I29" s="60"/>
      <c r="J29" s="60"/>
      <c r="P29" s="69"/>
    </row>
    <row r="30" spans="2:16" x14ac:dyDescent="0.2">
      <c r="B30" s="85"/>
      <c r="C30" s="72" t="s">
        <v>22</v>
      </c>
      <c r="E30" s="37"/>
      <c r="F30" s="37"/>
      <c r="G30" s="60"/>
      <c r="H30" s="60"/>
      <c r="I30" s="60"/>
      <c r="J30" s="60"/>
      <c r="P30" s="69"/>
    </row>
    <row r="31" spans="2:16" x14ac:dyDescent="0.2">
      <c r="B31" s="85"/>
      <c r="C31" s="72" t="s">
        <v>66</v>
      </c>
      <c r="D31" s="72"/>
      <c r="E31" s="37"/>
      <c r="F31" s="37"/>
      <c r="G31" s="60"/>
      <c r="H31" s="60"/>
      <c r="I31" s="60"/>
      <c r="J31" s="60"/>
      <c r="P31" s="69"/>
    </row>
    <row r="32" spans="2:16" x14ac:dyDescent="0.2">
      <c r="B32" s="85"/>
      <c r="C32" s="72"/>
      <c r="D32" s="72"/>
      <c r="E32" s="37"/>
      <c r="F32" s="37"/>
      <c r="G32" s="60"/>
      <c r="H32" s="60"/>
      <c r="I32" s="60"/>
      <c r="J32" s="60"/>
      <c r="P32" s="69"/>
    </row>
    <row r="33" spans="2:16" ht="25.5" x14ac:dyDescent="0.2">
      <c r="B33" s="86" t="s">
        <v>72</v>
      </c>
      <c r="C33" s="61" t="s">
        <v>79</v>
      </c>
      <c r="D33" s="62"/>
      <c r="E33" s="37"/>
      <c r="F33" s="37"/>
      <c r="G33" s="60"/>
      <c r="H33" s="60"/>
      <c r="I33" s="60"/>
      <c r="J33" s="60"/>
      <c r="P33" s="69"/>
    </row>
    <row r="34" spans="2:16" x14ac:dyDescent="0.2">
      <c r="B34" s="87" t="s">
        <v>76</v>
      </c>
      <c r="C34" s="24" t="s">
        <v>21</v>
      </c>
      <c r="D34" s="4"/>
      <c r="E34" s="37"/>
      <c r="F34" s="37"/>
      <c r="G34" s="60"/>
      <c r="H34" s="60"/>
      <c r="I34" s="60"/>
      <c r="J34" s="60"/>
      <c r="P34" s="69"/>
    </row>
    <row r="35" spans="2:16" x14ac:dyDescent="0.2">
      <c r="B35" s="87" t="s">
        <v>77</v>
      </c>
      <c r="C35" s="61" t="s">
        <v>73</v>
      </c>
      <c r="D35" s="61"/>
      <c r="E35" s="37"/>
      <c r="F35" s="37"/>
      <c r="G35" s="60"/>
      <c r="H35" s="60"/>
      <c r="I35" s="60"/>
      <c r="J35" s="60"/>
      <c r="P35" s="69"/>
    </row>
    <row r="36" spans="2:16" x14ac:dyDescent="0.2">
      <c r="B36" s="82"/>
      <c r="C36" s="61"/>
      <c r="D36" s="61"/>
      <c r="E36" s="37"/>
      <c r="F36" s="37"/>
      <c r="G36" s="60"/>
      <c r="H36" s="60"/>
      <c r="I36" s="60"/>
      <c r="J36" s="60"/>
      <c r="P36" s="69"/>
    </row>
    <row r="37" spans="2:16" x14ac:dyDescent="0.2">
      <c r="B37" s="82"/>
      <c r="C37" s="63" t="s">
        <v>74</v>
      </c>
      <c r="D37" s="61"/>
      <c r="E37" s="37"/>
      <c r="F37" s="37"/>
      <c r="G37" s="60"/>
      <c r="H37" s="60"/>
      <c r="I37" s="60"/>
      <c r="J37" s="60"/>
      <c r="P37" s="69"/>
    </row>
    <row r="38" spans="2:16" x14ac:dyDescent="0.2">
      <c r="B38" s="82"/>
      <c r="C38" s="72"/>
      <c r="D38" s="72"/>
      <c r="E38" s="37"/>
      <c r="F38" s="37"/>
      <c r="G38" s="60"/>
      <c r="H38" s="60"/>
      <c r="I38" s="60"/>
      <c r="J38" s="60"/>
      <c r="P38" s="69"/>
    </row>
    <row r="39" spans="2:16" x14ac:dyDescent="0.2">
      <c r="B39" s="15" t="s">
        <v>70</v>
      </c>
      <c r="C39" s="73" t="s">
        <v>69</v>
      </c>
      <c r="D39" s="16"/>
      <c r="E39" s="37"/>
      <c r="F39" s="37"/>
      <c r="G39" s="60"/>
      <c r="H39" s="60"/>
      <c r="I39" s="60"/>
      <c r="J39" s="60"/>
      <c r="P39" s="69"/>
    </row>
    <row r="40" spans="2:16" x14ac:dyDescent="0.2">
      <c r="B40" s="15"/>
      <c r="C40" s="64" t="s">
        <v>67</v>
      </c>
      <c r="D40" s="73"/>
      <c r="E40" s="37"/>
      <c r="F40" s="37"/>
      <c r="G40" s="60"/>
      <c r="H40" s="60"/>
      <c r="I40" s="60"/>
      <c r="J40" s="60"/>
      <c r="P40" s="69"/>
    </row>
    <row r="41" spans="2:16" x14ac:dyDescent="0.2">
      <c r="B41" s="15"/>
      <c r="C41" s="64" t="s">
        <v>68</v>
      </c>
      <c r="D41" s="73"/>
      <c r="E41" s="37"/>
      <c r="F41" s="37"/>
      <c r="G41" s="60"/>
      <c r="H41" s="60"/>
      <c r="I41" s="60"/>
      <c r="J41" s="60"/>
      <c r="P41" s="69"/>
    </row>
    <row r="42" spans="2:16" x14ac:dyDescent="0.2">
      <c r="B42" s="15"/>
      <c r="C42" s="64" t="s">
        <v>169</v>
      </c>
      <c r="D42" s="73"/>
      <c r="E42" s="37"/>
      <c r="F42" s="37"/>
      <c r="G42" s="60"/>
      <c r="H42" s="60"/>
      <c r="I42" s="60"/>
      <c r="J42" s="60"/>
      <c r="P42" s="69"/>
    </row>
    <row r="43" spans="2:16" x14ac:dyDescent="0.2">
      <c r="B43" s="82"/>
      <c r="C43" s="74" t="s">
        <v>170</v>
      </c>
      <c r="D43" s="74"/>
      <c r="E43" s="75"/>
      <c r="F43" s="37"/>
      <c r="G43" s="60"/>
      <c r="H43" s="60"/>
      <c r="I43" s="60"/>
      <c r="J43" s="60"/>
      <c r="P43" s="69"/>
    </row>
    <row r="44" spans="2:16" x14ac:dyDescent="0.2">
      <c r="B44" s="162" t="s">
        <v>75</v>
      </c>
      <c r="C44" s="76" t="s">
        <v>78</v>
      </c>
      <c r="D44" s="74"/>
      <c r="E44" s="75"/>
      <c r="F44" s="37"/>
      <c r="G44" s="60"/>
      <c r="H44" s="60"/>
      <c r="I44" s="60"/>
      <c r="J44" s="60"/>
      <c r="P44" s="69"/>
    </row>
    <row r="45" spans="2:16" x14ac:dyDescent="0.2">
      <c r="B45" s="88"/>
      <c r="C45" s="76" t="s">
        <v>24</v>
      </c>
      <c r="D45" s="74"/>
      <c r="E45" s="75"/>
      <c r="F45" s="37"/>
      <c r="G45" s="60"/>
      <c r="H45" s="60"/>
      <c r="I45" s="60"/>
      <c r="J45" s="60"/>
      <c r="P45" s="69"/>
    </row>
    <row r="46" spans="2:16" x14ac:dyDescent="0.2">
      <c r="B46" s="88"/>
      <c r="C46" s="76" t="s">
        <v>23</v>
      </c>
      <c r="D46" s="74"/>
      <c r="E46" s="75"/>
      <c r="F46" s="37"/>
      <c r="G46" s="60"/>
      <c r="H46" s="60"/>
      <c r="I46" s="60"/>
      <c r="J46" s="60"/>
      <c r="P46" s="69"/>
    </row>
    <row r="47" spans="2:16" x14ac:dyDescent="0.2">
      <c r="B47" s="88"/>
      <c r="C47" s="76"/>
      <c r="D47" s="74"/>
      <c r="E47" s="75"/>
      <c r="F47" s="37"/>
      <c r="G47" s="60"/>
      <c r="H47" s="60"/>
      <c r="I47" s="60"/>
      <c r="J47" s="60"/>
      <c r="P47" s="69"/>
    </row>
    <row r="48" spans="2:16" x14ac:dyDescent="0.2">
      <c r="B48" s="82"/>
      <c r="C48" s="60"/>
      <c r="D48" s="77"/>
      <c r="E48" s="60"/>
      <c r="F48" s="60"/>
      <c r="G48" s="60"/>
      <c r="H48" s="60"/>
      <c r="I48" s="60"/>
      <c r="J48" s="60"/>
      <c r="P48" s="69"/>
    </row>
    <row r="49" spans="2:16" x14ac:dyDescent="0.2">
      <c r="P49" s="69"/>
    </row>
    <row r="51" spans="2:16" ht="51" x14ac:dyDescent="0.2">
      <c r="B51" s="149" t="s">
        <v>2</v>
      </c>
      <c r="C51" s="133"/>
      <c r="D51" s="134" t="s">
        <v>139</v>
      </c>
      <c r="E51" s="135" t="s">
        <v>140</v>
      </c>
      <c r="F51" s="134" t="s">
        <v>39</v>
      </c>
    </row>
    <row r="52" spans="2:16" ht="38.25" x14ac:dyDescent="0.2">
      <c r="B52" s="132"/>
      <c r="C52" s="136" t="s">
        <v>141</v>
      </c>
      <c r="D52" s="150">
        <f>1273*1000</f>
        <v>1273000</v>
      </c>
      <c r="E52" s="150">
        <f>329*1000</f>
        <v>329000</v>
      </c>
      <c r="F52" s="153">
        <f>D52+E52</f>
        <v>1602000</v>
      </c>
      <c r="G52" s="78"/>
    </row>
    <row r="53" spans="2:16" ht="38.25" x14ac:dyDescent="0.2">
      <c r="B53" s="132"/>
      <c r="C53" s="36" t="s">
        <v>142</v>
      </c>
      <c r="D53" s="151">
        <f>73.7*1000000</f>
        <v>73700000</v>
      </c>
      <c r="E53" s="152">
        <f>26.5*1000000</f>
        <v>26500000</v>
      </c>
      <c r="F53" s="151">
        <f>D53+E53</f>
        <v>100200000</v>
      </c>
      <c r="G53" s="59"/>
      <c r="H53" s="59"/>
    </row>
    <row r="54" spans="2:16" ht="25.5" x14ac:dyDescent="0.2">
      <c r="B54" s="132"/>
      <c r="C54" s="36" t="s">
        <v>143</v>
      </c>
      <c r="D54" s="148">
        <f>D53/D52</f>
        <v>57.89473684210526</v>
      </c>
      <c r="E54" s="148">
        <f>E53/E52</f>
        <v>80.547112462006083</v>
      </c>
      <c r="F54" s="154">
        <f>F53/F52</f>
        <v>62.546816479400746</v>
      </c>
      <c r="G54" s="147" t="s">
        <v>154</v>
      </c>
    </row>
    <row r="55" spans="2:16" x14ac:dyDescent="0.2">
      <c r="B55" s="132"/>
      <c r="C55" s="82" t="s">
        <v>155</v>
      </c>
      <c r="D55" s="132"/>
      <c r="E55" s="132"/>
      <c r="G55" s="59"/>
    </row>
    <row r="56" spans="2:16" x14ac:dyDescent="0.2">
      <c r="B56" s="132"/>
      <c r="C56" s="155" t="s">
        <v>0</v>
      </c>
    </row>
    <row r="57" spans="2:16" x14ac:dyDescent="0.2">
      <c r="B57" s="132"/>
      <c r="C57" s="155" t="s">
        <v>1</v>
      </c>
    </row>
    <row r="58" spans="2:16" x14ac:dyDescent="0.2">
      <c r="B58" s="132"/>
      <c r="C58" s="155"/>
    </row>
    <row r="59" spans="2:16" x14ac:dyDescent="0.2">
      <c r="C59" s="137" t="s">
        <v>144</v>
      </c>
      <c r="D59" s="132"/>
      <c r="E59" s="132"/>
    </row>
    <row r="60" spans="2:16" x14ac:dyDescent="0.2">
      <c r="C60" s="132"/>
      <c r="D60" s="132"/>
      <c r="E60" s="132"/>
    </row>
    <row r="61" spans="2:16" ht="38.25" x14ac:dyDescent="0.2">
      <c r="C61" s="138" t="s">
        <v>141</v>
      </c>
      <c r="D61" s="139" t="s">
        <v>145</v>
      </c>
      <c r="E61" s="140"/>
    </row>
    <row r="62" spans="2:16" x14ac:dyDescent="0.2">
      <c r="C62" s="141"/>
      <c r="D62" s="139" t="s">
        <v>146</v>
      </c>
      <c r="E62" s="140"/>
    </row>
    <row r="63" spans="2:16" x14ac:dyDescent="0.2">
      <c r="C63" s="141"/>
      <c r="D63" s="139" t="s">
        <v>147</v>
      </c>
      <c r="E63" s="140"/>
    </row>
    <row r="64" spans="2:16" x14ac:dyDescent="0.2">
      <c r="C64" s="140"/>
      <c r="D64" s="140"/>
      <c r="E64" s="140"/>
    </row>
    <row r="65" spans="3:6" ht="38.25" x14ac:dyDescent="0.2">
      <c r="C65" s="142" t="s">
        <v>142</v>
      </c>
      <c r="D65" s="143" t="s">
        <v>148</v>
      </c>
      <c r="E65" s="144"/>
    </row>
    <row r="66" spans="3:6" x14ac:dyDescent="0.2">
      <c r="C66" s="144"/>
      <c r="D66" s="143" t="s">
        <v>149</v>
      </c>
      <c r="E66" s="144"/>
    </row>
    <row r="67" spans="3:6" x14ac:dyDescent="0.2">
      <c r="C67" s="144"/>
      <c r="D67" s="145" t="s">
        <v>150</v>
      </c>
      <c r="E67" s="144"/>
    </row>
    <row r="68" spans="3:6" x14ac:dyDescent="0.2">
      <c r="C68" s="144"/>
      <c r="D68" s="145" t="s">
        <v>151</v>
      </c>
      <c r="E68" s="144"/>
    </row>
    <row r="69" spans="3:6" x14ac:dyDescent="0.2">
      <c r="C69" s="144"/>
      <c r="D69" s="145" t="s">
        <v>152</v>
      </c>
      <c r="E69" s="144"/>
      <c r="F69" s="132"/>
    </row>
  </sheetData>
  <sheetProtection algorithmName="SHA-512" hashValue="ziqZ+MU31ApZlziqjnssKB9CSdaEViqbyWHYeFablREUDnEPOzmkf739Ub7KpdTb1ZQkmPWFA5kFu5j7nw3kCg==" saltValue="dRPQTSn3u+0RNV0PGL/ZUw==" spinCount="100000" sheet="1" objects="1" scenarios="1" selectLockedCells="1" selectUnlockedCells="1"/>
  <phoneticPr fontId="3" type="noConversion"/>
  <conditionalFormatting sqref="D52:E52">
    <cfRule type="cellIs" dxfId="0" priority="1" stopIfTrue="1" operator="equal">
      <formula>0</formula>
    </cfRule>
  </conditionalFormatting>
  <pageMargins left="0.75" right="0.75" top="1.25" bottom="0.75" header="0.5" footer="0.5"/>
  <pageSetup scale="70" fitToHeight="2" orientation="landscape" horizontalDpi="525" verticalDpi="525" r:id="rId1"/>
  <headerFooter alignWithMargins="0">
    <oddHeader>&amp;C&amp;G</oddHeader>
    <oddFooter>&amp;LDepartment of Local Services, Permitting Division
35030 SE Douglas Street, Suite 210
Snoqualmie, WA  98065-9266&amp;CMarch 2019&amp;R206-296-6600
   TTY Relay:  711
www.kingcounty.gov</oddFooter>
  </headerFooter>
  <rowBreaks count="1" manualBreakCount="1">
    <brk id="24" max="16383" man="1"/>
  </rowBreaks>
  <drawing r:id="rId2"/>
  <legacyDrawing r:id="rId3"/>
  <legacyDrawingHF r:id="rId4"/>
  <oleObjects>
    <mc:AlternateContent xmlns:mc="http://schemas.openxmlformats.org/markup-compatibility/2006">
      <mc:Choice Requires="x14">
        <oleObject progId="Word.Document.8" shapeId="4099" r:id="rId5">
          <objectPr defaultSize="0" r:id="rId6">
            <anchor moveWithCells="1">
              <from>
                <xdr:col>1</xdr:col>
                <xdr:colOff>447675</xdr:colOff>
                <xdr:row>70</xdr:row>
                <xdr:rowOff>66675</xdr:rowOff>
              </from>
              <to>
                <xdr:col>8</xdr:col>
                <xdr:colOff>485775</xdr:colOff>
                <xdr:row>95</xdr:row>
                <xdr:rowOff>47625</xdr:rowOff>
              </to>
            </anchor>
          </objectPr>
        </oleObject>
      </mc:Choice>
      <mc:Fallback>
        <oleObject progId="Word.Document.8" shapeId="4099"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7"/>
  <sheetViews>
    <sheetView zoomScale="75" zoomScaleNormal="100" workbookViewId="0">
      <selection activeCell="L30" sqref="L30"/>
    </sheetView>
  </sheetViews>
  <sheetFormatPr defaultRowHeight="12.75" x14ac:dyDescent="0.2"/>
  <cols>
    <col min="1" max="1" width="9.140625" style="7"/>
    <col min="2" max="2" width="34.85546875" style="7" customWidth="1"/>
    <col min="3" max="3" width="15.140625" style="7" customWidth="1"/>
    <col min="4" max="4" width="11" style="7" customWidth="1"/>
    <col min="5" max="5" width="13" style="7" customWidth="1"/>
    <col min="6" max="6" width="12.85546875" style="7" customWidth="1"/>
    <col min="7" max="7" width="11.28515625" style="7" customWidth="1"/>
    <col min="8" max="8" width="9.42578125" style="7" customWidth="1"/>
    <col min="9" max="9" width="9.140625" style="7"/>
    <col min="10" max="10" width="12.140625" style="7" customWidth="1"/>
    <col min="11" max="11" width="14.42578125" style="7" customWidth="1"/>
    <col min="12" max="12" width="11" style="7" customWidth="1"/>
    <col min="13" max="13" width="14.140625" style="7" customWidth="1"/>
    <col min="14" max="16384" width="9.140625" style="7"/>
  </cols>
  <sheetData>
    <row r="1" spans="2:14" ht="30.75" customHeight="1" x14ac:dyDescent="0.2">
      <c r="B1" s="7" t="s">
        <v>158</v>
      </c>
      <c r="L1" s="8"/>
    </row>
    <row r="2" spans="2:14" ht="89.25" x14ac:dyDescent="0.2">
      <c r="B2" s="36" t="s">
        <v>125</v>
      </c>
      <c r="C2" s="157" t="s">
        <v>111</v>
      </c>
      <c r="D2" s="157" t="s">
        <v>110</v>
      </c>
      <c r="E2" s="159" t="s">
        <v>81</v>
      </c>
      <c r="F2" s="158" t="s">
        <v>32</v>
      </c>
      <c r="G2" s="158" t="s">
        <v>55</v>
      </c>
      <c r="H2" s="36" t="s">
        <v>54</v>
      </c>
      <c r="I2" s="36" t="s">
        <v>40</v>
      </c>
      <c r="J2" s="81" t="s">
        <v>56</v>
      </c>
      <c r="K2" s="81" t="s">
        <v>57</v>
      </c>
    </row>
    <row r="3" spans="2:14" x14ac:dyDescent="0.2">
      <c r="B3" s="105" t="s">
        <v>58</v>
      </c>
      <c r="C3" s="30">
        <v>2.7730999999999999</v>
      </c>
      <c r="D3" s="97">
        <f>2527/1000</f>
        <v>2.5270000000000001</v>
      </c>
      <c r="E3" s="38">
        <f>C3/D3</f>
        <v>1.0973882073605064</v>
      </c>
      <c r="F3" s="31">
        <v>4.932074788590274</v>
      </c>
      <c r="G3" s="32">
        <f>C3*F3</f>
        <v>13.677136596239688</v>
      </c>
      <c r="H3" s="32">
        <f>E3*F3</f>
        <v>5.4124007108190293</v>
      </c>
      <c r="I3" s="146">
        <f>'Energy Emissions'!I4</f>
        <v>57.89473684210526</v>
      </c>
      <c r="J3" s="33">
        <f>G3*I3</f>
        <v>791.83422399282404</v>
      </c>
      <c r="K3" s="33">
        <f>H3*I3</f>
        <v>313.34951483689116</v>
      </c>
    </row>
    <row r="4" spans="2:14" x14ac:dyDescent="0.2">
      <c r="B4" s="105" t="s">
        <v>83</v>
      </c>
      <c r="C4" s="30">
        <v>1.9271</v>
      </c>
      <c r="D4" s="104">
        <f>847/1000</f>
        <v>0.84699999999999998</v>
      </c>
      <c r="E4" s="38">
        <f>C4/D4</f>
        <v>2.2752066115702481</v>
      </c>
      <c r="F4" s="31">
        <v>4.932074788590274</v>
      </c>
      <c r="G4" s="32">
        <f>C4*F4</f>
        <v>9.5046013250923167</v>
      </c>
      <c r="H4" s="32">
        <f>E4*F4</f>
        <v>11.221489167759525</v>
      </c>
      <c r="I4" s="146">
        <f>'Energy Emissions'!I5</f>
        <v>80.547112462006083</v>
      </c>
      <c r="J4" s="33">
        <f>G4*I4</f>
        <v>765.56819183874291</v>
      </c>
      <c r="K4" s="33">
        <f>H4*I4</f>
        <v>903.85854998670959</v>
      </c>
    </row>
    <row r="5" spans="2:14" x14ac:dyDescent="0.2">
      <c r="B5" s="105" t="s">
        <v>85</v>
      </c>
      <c r="C5" s="30">
        <v>1.9271</v>
      </c>
      <c r="D5" s="104">
        <v>1.393</v>
      </c>
      <c r="E5" s="38">
        <f>C5/D5</f>
        <v>1.3834170854271357</v>
      </c>
      <c r="F5" s="31">
        <v>4.932074788590274</v>
      </c>
      <c r="G5" s="32">
        <f>C5*F5</f>
        <v>9.5046013250923167</v>
      </c>
      <c r="H5" s="32">
        <f>E5*F5</f>
        <v>6.8231165291402132</v>
      </c>
      <c r="I5" s="146">
        <f>'Energy Emissions'!I6</f>
        <v>80.547112462006083</v>
      </c>
      <c r="J5" s="33">
        <f>G5*I5</f>
        <v>765.56819183874291</v>
      </c>
      <c r="K5" s="33">
        <f>H5*I5</f>
        <v>549.58233441402933</v>
      </c>
    </row>
    <row r="6" spans="2:14" x14ac:dyDescent="0.2">
      <c r="B6" s="105" t="s">
        <v>59</v>
      </c>
      <c r="C6" s="30">
        <v>2.4836999999999998</v>
      </c>
      <c r="D6" s="97">
        <f>1062/1000</f>
        <v>1.0620000000000001</v>
      </c>
      <c r="E6" s="38">
        <f>C6/D6</f>
        <v>2.3387005649717509</v>
      </c>
      <c r="F6" s="31">
        <v>4.932074788590274</v>
      </c>
      <c r="G6" s="32">
        <f>C6*F6</f>
        <v>12.249794152421662</v>
      </c>
      <c r="H6" s="32">
        <f>E6*F6</f>
        <v>11.534646094559003</v>
      </c>
      <c r="I6" s="146">
        <f>'Energy Emissions'!I7</f>
        <v>57.89473684210526</v>
      </c>
      <c r="J6" s="33">
        <f>G6*I6</f>
        <v>709.19860882441196</v>
      </c>
      <c r="K6" s="33">
        <f>H6*I6</f>
        <v>667.79530021131063</v>
      </c>
    </row>
    <row r="7" spans="2:14" x14ac:dyDescent="0.2">
      <c r="B7" s="34" t="s">
        <v>4</v>
      </c>
      <c r="C7" s="32">
        <f>D7*E7</f>
        <v>29.976580796252929</v>
      </c>
      <c r="D7" s="67">
        <v>25.6</v>
      </c>
      <c r="E7" s="39">
        <v>1.1709601873536299</v>
      </c>
      <c r="F7" s="31">
        <v>4.932074788590274</v>
      </c>
      <c r="G7" s="32">
        <f t="shared" ref="G7:G21" si="0">C7*F7</f>
        <v>147.84673839333843</v>
      </c>
      <c r="H7" s="32">
        <f>E7*F7</f>
        <v>5.7752632184897825</v>
      </c>
      <c r="I7" s="156">
        <v>62.546816479400746</v>
      </c>
      <c r="J7" s="33">
        <f t="shared" ref="J7:J21" si="1">G7*I7</f>
        <v>9247.3428133661109</v>
      </c>
      <c r="K7" s="33">
        <f>H7*I7</f>
        <v>361.22432864711374</v>
      </c>
    </row>
    <row r="8" spans="2:14" x14ac:dyDescent="0.2">
      <c r="B8" s="34" t="s">
        <v>5</v>
      </c>
      <c r="C8" s="32">
        <f t="shared" ref="C8:C21" si="2">D8*E8</f>
        <v>5.1188299817184637</v>
      </c>
      <c r="D8" s="67">
        <v>5.6</v>
      </c>
      <c r="E8" s="39">
        <v>0.91407678244972579</v>
      </c>
      <c r="F8" s="31">
        <v>4.932074788590274</v>
      </c>
      <c r="G8" s="32">
        <f t="shared" si="0"/>
        <v>25.246452299913649</v>
      </c>
      <c r="H8" s="32">
        <f t="shared" ref="H8:H21" si="3">E8*F8</f>
        <v>4.5082950535560089</v>
      </c>
      <c r="I8" s="156">
        <v>62.546816479400746</v>
      </c>
      <c r="J8" s="33">
        <f t="shared" si="1"/>
        <v>1579.0852187586438</v>
      </c>
      <c r="K8" s="33">
        <f t="shared" ref="K8:K21" si="4">H8*I8</f>
        <v>281.97950334975786</v>
      </c>
    </row>
    <row r="9" spans="2:14" x14ac:dyDescent="0.2">
      <c r="B9" s="34" t="s">
        <v>6</v>
      </c>
      <c r="C9" s="32">
        <f t="shared" si="2"/>
        <v>10.181818181818182</v>
      </c>
      <c r="D9" s="67">
        <v>5.6</v>
      </c>
      <c r="E9" s="39">
        <v>1.8181818181818181</v>
      </c>
      <c r="F9" s="31">
        <v>4.932074788590274</v>
      </c>
      <c r="G9" s="32">
        <f t="shared" si="0"/>
        <v>50.217488756555518</v>
      </c>
      <c r="H9" s="32">
        <f t="shared" si="3"/>
        <v>8.9674087065277703</v>
      </c>
      <c r="I9" s="156">
        <v>62.546816479400746</v>
      </c>
      <c r="J9" s="33">
        <f t="shared" si="1"/>
        <v>3140.9440533126485</v>
      </c>
      <c r="K9" s="33">
        <f t="shared" si="4"/>
        <v>560.8828666629729</v>
      </c>
      <c r="N9" s="65"/>
    </row>
    <row r="10" spans="2:14" x14ac:dyDescent="0.2">
      <c r="B10" s="34" t="s">
        <v>127</v>
      </c>
      <c r="C10" s="32">
        <f t="shared" si="2"/>
        <v>455.47169811320754</v>
      </c>
      <c r="D10" s="67">
        <v>241.4</v>
      </c>
      <c r="E10" s="39">
        <v>1.8867924528301887</v>
      </c>
      <c r="F10" s="31">
        <v>4.932074788590274</v>
      </c>
      <c r="G10" s="32">
        <f t="shared" si="0"/>
        <v>2246.4204791805514</v>
      </c>
      <c r="H10" s="32">
        <f t="shared" si="3"/>
        <v>9.3058014879061783</v>
      </c>
      <c r="I10" s="156">
        <v>62.546816479400746</v>
      </c>
      <c r="J10" s="33">
        <f t="shared" si="1"/>
        <v>140506.44944687345</v>
      </c>
      <c r="K10" s="33">
        <f t="shared" si="4"/>
        <v>582.04825785780213</v>
      </c>
      <c r="N10" s="65"/>
    </row>
    <row r="11" spans="2:14" x14ac:dyDescent="0.2">
      <c r="B11" s="34" t="s">
        <v>126</v>
      </c>
      <c r="C11" s="32">
        <f t="shared" si="2"/>
        <v>19.25925925925926</v>
      </c>
      <c r="D11" s="67">
        <v>10.4</v>
      </c>
      <c r="E11" s="39">
        <v>1.8518518518518519</v>
      </c>
      <c r="F11" s="31">
        <v>4.932074788590274</v>
      </c>
      <c r="G11" s="32">
        <f t="shared" si="0"/>
        <v>94.988107039516393</v>
      </c>
      <c r="H11" s="32">
        <f t="shared" si="3"/>
        <v>9.1334718307227298</v>
      </c>
      <c r="I11" s="156">
        <v>62.546816479400746</v>
      </c>
      <c r="J11" s="33">
        <f t="shared" si="1"/>
        <v>5941.2036987263064</v>
      </c>
      <c r="K11" s="33">
        <f t="shared" si="4"/>
        <v>571.26958641599094</v>
      </c>
    </row>
    <row r="12" spans="2:14" x14ac:dyDescent="0.2">
      <c r="B12" s="34" t="s">
        <v>7</v>
      </c>
      <c r="C12" s="32">
        <f t="shared" si="2"/>
        <v>13.596657804785416</v>
      </c>
      <c r="D12" s="67">
        <v>35.799999999999997</v>
      </c>
      <c r="E12" s="39">
        <v>0.37979491074819599</v>
      </c>
      <c r="F12" s="31">
        <v>4.932074788590274</v>
      </c>
      <c r="G12" s="32">
        <f t="shared" si="0"/>
        <v>67.059733168071332</v>
      </c>
      <c r="H12" s="32">
        <f t="shared" si="3"/>
        <v>1.8731769041360706</v>
      </c>
      <c r="I12" s="156">
        <v>62.546816479400746</v>
      </c>
      <c r="J12" s="33">
        <f t="shared" si="1"/>
        <v>4194.3728236209408</v>
      </c>
      <c r="K12" s="33">
        <f t="shared" si="4"/>
        <v>117.16125205645085</v>
      </c>
      <c r="N12" s="65"/>
    </row>
    <row r="13" spans="2:14" x14ac:dyDescent="0.2">
      <c r="B13" s="34" t="s">
        <v>8</v>
      </c>
      <c r="C13" s="32">
        <f t="shared" si="2"/>
        <v>7.76</v>
      </c>
      <c r="D13" s="67">
        <v>9.6999999999999993</v>
      </c>
      <c r="E13" s="39">
        <v>0.8</v>
      </c>
      <c r="F13" s="31">
        <v>4.932074788590274</v>
      </c>
      <c r="G13" s="32">
        <f t="shared" si="0"/>
        <v>38.272900359460529</v>
      </c>
      <c r="H13" s="32">
        <f t="shared" si="3"/>
        <v>3.9456598308722195</v>
      </c>
      <c r="I13" s="156">
        <v>62.546816479400746</v>
      </c>
      <c r="J13" s="33">
        <f t="shared" si="1"/>
        <v>2393.8480749175687</v>
      </c>
      <c r="K13" s="33">
        <f t="shared" si="4"/>
        <v>246.78846133170811</v>
      </c>
      <c r="N13" s="65"/>
    </row>
    <row r="14" spans="2:14" x14ac:dyDescent="0.2">
      <c r="B14" s="34" t="s">
        <v>9</v>
      </c>
      <c r="C14" s="32">
        <f t="shared" si="2"/>
        <v>28.19047619047619</v>
      </c>
      <c r="D14" s="67">
        <v>14.8</v>
      </c>
      <c r="E14" s="39">
        <v>1.9047619047619047</v>
      </c>
      <c r="F14" s="31">
        <v>4.932074788590274</v>
      </c>
      <c r="G14" s="32">
        <f t="shared" si="0"/>
        <v>139.03753689740202</v>
      </c>
      <c r="H14" s="32">
        <f t="shared" si="3"/>
        <v>9.3944281687433779</v>
      </c>
      <c r="I14" s="156">
        <v>62.546816479400746</v>
      </c>
      <c r="J14" s="33">
        <f t="shared" si="1"/>
        <v>8696.3553040697134</v>
      </c>
      <c r="K14" s="33">
        <f t="shared" si="4"/>
        <v>587.59157459930486</v>
      </c>
    </row>
    <row r="15" spans="2:14" x14ac:dyDescent="0.2">
      <c r="B15" s="34" t="s">
        <v>10</v>
      </c>
      <c r="C15" s="32">
        <f t="shared" si="2"/>
        <v>6.9268292682926829</v>
      </c>
      <c r="D15" s="67">
        <v>14.2</v>
      </c>
      <c r="E15" s="39">
        <v>0.48780487804878048</v>
      </c>
      <c r="F15" s="31">
        <v>4.932074788590274</v>
      </c>
      <c r="G15" s="32">
        <f t="shared" si="0"/>
        <v>34.163639999015558</v>
      </c>
      <c r="H15" s="32">
        <f t="shared" si="3"/>
        <v>2.4058901407757434</v>
      </c>
      <c r="I15" s="156">
        <v>62.546816479400746</v>
      </c>
      <c r="J15" s="33">
        <f t="shared" si="1"/>
        <v>2136.8269212867408</v>
      </c>
      <c r="K15" s="33">
        <f t="shared" si="4"/>
        <v>150.48076910470004</v>
      </c>
    </row>
    <row r="16" spans="2:14" x14ac:dyDescent="0.2">
      <c r="B16" s="34" t="s">
        <v>11</v>
      </c>
      <c r="C16" s="32">
        <f t="shared" si="2"/>
        <v>18.787878787878789</v>
      </c>
      <c r="D16" s="67">
        <v>15.5</v>
      </c>
      <c r="E16" s="39">
        <v>1.2121212121212122</v>
      </c>
      <c r="F16" s="31">
        <v>4.932074788590274</v>
      </c>
      <c r="G16" s="32">
        <f t="shared" si="0"/>
        <v>92.663223300786967</v>
      </c>
      <c r="H16" s="32">
        <f t="shared" si="3"/>
        <v>5.9782724710185144</v>
      </c>
      <c r="I16" s="156">
        <v>62.546816479400746</v>
      </c>
      <c r="J16" s="33">
        <f t="shared" si="1"/>
        <v>5795.7896221840538</v>
      </c>
      <c r="K16" s="33">
        <f t="shared" si="4"/>
        <v>373.92191110864866</v>
      </c>
    </row>
    <row r="17" spans="2:11" x14ac:dyDescent="0.2">
      <c r="B17" s="34" t="s">
        <v>12</v>
      </c>
      <c r="C17" s="32">
        <f t="shared" si="2"/>
        <v>4.208333333333333</v>
      </c>
      <c r="D17" s="67">
        <v>10.1</v>
      </c>
      <c r="E17" s="39">
        <v>0.41666666666666669</v>
      </c>
      <c r="F17" s="31">
        <v>4.932074788590274</v>
      </c>
      <c r="G17" s="32">
        <f t="shared" si="0"/>
        <v>20.755814735317401</v>
      </c>
      <c r="H17" s="32">
        <f t="shared" si="3"/>
        <v>2.0550311619126145</v>
      </c>
      <c r="I17" s="156">
        <v>62.546816479400746</v>
      </c>
      <c r="J17" s="33">
        <f t="shared" si="1"/>
        <v>1298.2101351303393</v>
      </c>
      <c r="K17" s="33">
        <f t="shared" si="4"/>
        <v>128.53565694359798</v>
      </c>
    </row>
    <row r="18" spans="2:11" x14ac:dyDescent="0.2">
      <c r="B18" s="34" t="s">
        <v>13</v>
      </c>
      <c r="C18" s="32">
        <f t="shared" si="2"/>
        <v>5.6034482758620685</v>
      </c>
      <c r="D18" s="67">
        <v>6.5</v>
      </c>
      <c r="E18" s="39">
        <v>0.86206896551724133</v>
      </c>
      <c r="F18" s="31">
        <v>4.932074788590274</v>
      </c>
      <c r="G18" s="32">
        <f t="shared" si="0"/>
        <v>27.636625970548948</v>
      </c>
      <c r="H18" s="32">
        <f t="shared" si="3"/>
        <v>4.2517886108536844</v>
      </c>
      <c r="I18" s="156">
        <v>62.546816479400746</v>
      </c>
      <c r="J18" s="33">
        <f t="shared" si="1"/>
        <v>1728.5829726897657</v>
      </c>
      <c r="K18" s="33">
        <f t="shared" si="4"/>
        <v>265.93584195227163</v>
      </c>
    </row>
    <row r="19" spans="2:11" x14ac:dyDescent="0.2">
      <c r="B19" s="34" t="s">
        <v>14</v>
      </c>
      <c r="C19" s="32">
        <f t="shared" si="2"/>
        <v>9.9411764705882337</v>
      </c>
      <c r="D19" s="67">
        <v>16.899999999999999</v>
      </c>
      <c r="E19" s="39">
        <v>0.58823529411764697</v>
      </c>
      <c r="F19" s="31">
        <v>4.932074788590274</v>
      </c>
      <c r="G19" s="32">
        <f t="shared" si="0"/>
        <v>49.030625839515068</v>
      </c>
      <c r="H19" s="32">
        <f t="shared" si="3"/>
        <v>2.9012204638766312</v>
      </c>
      <c r="I19" s="156">
        <v>62.546816479400746</v>
      </c>
      <c r="J19" s="33">
        <f t="shared" si="1"/>
        <v>3066.7095562543132</v>
      </c>
      <c r="K19" s="33">
        <f t="shared" si="4"/>
        <v>181.46210392037355</v>
      </c>
    </row>
    <row r="20" spans="2:11" x14ac:dyDescent="0.2">
      <c r="B20" s="34" t="s">
        <v>15</v>
      </c>
      <c r="C20" s="32">
        <f t="shared" si="2"/>
        <v>18.25</v>
      </c>
      <c r="D20" s="67">
        <v>21.9</v>
      </c>
      <c r="E20" s="39">
        <v>0.83333333333333337</v>
      </c>
      <c r="F20" s="31">
        <v>4.932074788590274</v>
      </c>
      <c r="G20" s="32">
        <f t="shared" si="0"/>
        <v>90.010364891772497</v>
      </c>
      <c r="H20" s="32">
        <f t="shared" si="3"/>
        <v>4.110062323825229</v>
      </c>
      <c r="I20" s="156">
        <v>62.546816479400746</v>
      </c>
      <c r="J20" s="33">
        <f t="shared" si="1"/>
        <v>5629.8617741295902</v>
      </c>
      <c r="K20" s="33">
        <f t="shared" si="4"/>
        <v>257.07131388719597</v>
      </c>
    </row>
    <row r="21" spans="2:11" x14ac:dyDescent="0.2">
      <c r="B21" s="34" t="s">
        <v>16</v>
      </c>
      <c r="C21" s="32">
        <f t="shared" si="2"/>
        <v>2.1283018867924532</v>
      </c>
      <c r="D21" s="67">
        <v>14.1</v>
      </c>
      <c r="E21" s="39">
        <v>0.15094339622641512</v>
      </c>
      <c r="F21" s="31">
        <v>4.932074788590274</v>
      </c>
      <c r="G21" s="32">
        <f t="shared" si="0"/>
        <v>10.496944078358171</v>
      </c>
      <c r="H21" s="32">
        <f t="shared" si="3"/>
        <v>0.74446411903249432</v>
      </c>
      <c r="I21" s="156">
        <v>62.546816479400746</v>
      </c>
      <c r="J21" s="33">
        <f t="shared" si="1"/>
        <v>656.55043486360091</v>
      </c>
      <c r="K21" s="33">
        <f t="shared" si="4"/>
        <v>46.563860628624177</v>
      </c>
    </row>
    <row r="22" spans="2:11" x14ac:dyDescent="0.2">
      <c r="H22" s="8"/>
    </row>
    <row r="23" spans="2:11" x14ac:dyDescent="0.2">
      <c r="B23" s="6" t="s">
        <v>38</v>
      </c>
    </row>
    <row r="24" spans="2:11" x14ac:dyDescent="0.2">
      <c r="B24" s="7" t="s">
        <v>52</v>
      </c>
      <c r="C24" s="23" t="s">
        <v>53</v>
      </c>
      <c r="D24" s="23"/>
    </row>
    <row r="26" spans="2:11" x14ac:dyDescent="0.2">
      <c r="B26" s="13" t="s">
        <v>42</v>
      </c>
      <c r="C26" s="13" t="s">
        <v>61</v>
      </c>
      <c r="D26" s="13"/>
    </row>
    <row r="27" spans="2:11" x14ac:dyDescent="0.2">
      <c r="C27" s="13" t="s">
        <v>43</v>
      </c>
      <c r="D27" s="13"/>
    </row>
    <row r="28" spans="2:11" x14ac:dyDescent="0.2">
      <c r="C28" s="13" t="s">
        <v>192</v>
      </c>
      <c r="D28" s="13"/>
    </row>
    <row r="29" spans="2:11" x14ac:dyDescent="0.2">
      <c r="C29" s="13" t="s">
        <v>164</v>
      </c>
      <c r="D29" s="13"/>
    </row>
    <row r="30" spans="2:11" x14ac:dyDescent="0.2">
      <c r="C30" s="13" t="s">
        <v>165</v>
      </c>
      <c r="D30" s="13"/>
    </row>
    <row r="31" spans="2:11" x14ac:dyDescent="0.2">
      <c r="C31" s="13"/>
      <c r="D31" s="13"/>
    </row>
    <row r="32" spans="2:11" x14ac:dyDescent="0.2">
      <c r="B32" s="107" t="s">
        <v>75</v>
      </c>
      <c r="C32" s="91" t="s">
        <v>78</v>
      </c>
      <c r="D32" s="91"/>
    </row>
    <row r="33" spans="2:7" x14ac:dyDescent="0.2">
      <c r="B33" s="92"/>
      <c r="C33" s="91" t="s">
        <v>190</v>
      </c>
      <c r="D33" s="91"/>
    </row>
    <row r="34" spans="2:7" x14ac:dyDescent="0.2">
      <c r="E34" s="11"/>
      <c r="F34" s="11"/>
      <c r="G34" s="11"/>
    </row>
    <row r="35" spans="2:7" x14ac:dyDescent="0.2">
      <c r="B35" s="14" t="s">
        <v>44</v>
      </c>
      <c r="C35" s="15" t="s">
        <v>60</v>
      </c>
      <c r="D35" s="15"/>
      <c r="E35" s="12"/>
      <c r="F35" s="12"/>
      <c r="G35" s="12"/>
    </row>
    <row r="36" spans="2:7" x14ac:dyDescent="0.2">
      <c r="B36" s="16"/>
      <c r="C36" s="17" t="s">
        <v>167</v>
      </c>
      <c r="D36" s="17"/>
    </row>
    <row r="37" spans="2:7" x14ac:dyDescent="0.2">
      <c r="B37" s="16"/>
      <c r="C37" s="15" t="s">
        <v>41</v>
      </c>
      <c r="D37" s="15"/>
    </row>
    <row r="38" spans="2:7" x14ac:dyDescent="0.2">
      <c r="B38" s="16"/>
      <c r="C38" s="16"/>
      <c r="D38" s="16"/>
    </row>
    <row r="39" spans="2:7" x14ac:dyDescent="0.2">
      <c r="B39" s="16"/>
      <c r="C39" s="16" t="s">
        <v>45</v>
      </c>
      <c r="D39" s="16"/>
    </row>
    <row r="40" spans="2:7" x14ac:dyDescent="0.2">
      <c r="B40" s="16"/>
      <c r="C40" s="16" t="s">
        <v>166</v>
      </c>
      <c r="D40" s="16"/>
    </row>
    <row r="42" spans="2:7" x14ac:dyDescent="0.2">
      <c r="B42" s="180" t="s">
        <v>191</v>
      </c>
      <c r="F42" s="19"/>
      <c r="G42" s="19"/>
    </row>
    <row r="43" spans="2:7" x14ac:dyDescent="0.2">
      <c r="B43" s="18"/>
      <c r="F43" s="19"/>
      <c r="G43" s="19"/>
    </row>
    <row r="44" spans="2:7" x14ac:dyDescent="0.2">
      <c r="B44" s="19" t="s">
        <v>62</v>
      </c>
      <c r="C44" s="19"/>
      <c r="D44" s="19"/>
      <c r="F44" s="19"/>
    </row>
    <row r="45" spans="2:7" x14ac:dyDescent="0.2">
      <c r="B45" s="160">
        <v>56531930000</v>
      </c>
      <c r="C45" s="19" t="s">
        <v>46</v>
      </c>
      <c r="D45" s="19"/>
      <c r="F45" s="19"/>
    </row>
    <row r="46" spans="2:7" x14ac:dyDescent="0.2">
      <c r="B46" s="160"/>
      <c r="C46" s="19"/>
      <c r="D46" s="19" t="s">
        <v>47</v>
      </c>
      <c r="F46" s="19"/>
    </row>
    <row r="47" spans="2:7" x14ac:dyDescent="0.2">
      <c r="B47" s="160"/>
      <c r="C47" s="19"/>
      <c r="D47" s="19" t="s">
        <v>25</v>
      </c>
      <c r="F47" s="19"/>
    </row>
    <row r="48" spans="2:7" x14ac:dyDescent="0.2">
      <c r="B48" s="160">
        <v>6395798</v>
      </c>
      <c r="C48" s="19" t="s">
        <v>26</v>
      </c>
      <c r="D48" s="19"/>
      <c r="F48" s="19"/>
    </row>
    <row r="49" spans="2:6" x14ac:dyDescent="0.2">
      <c r="B49" s="19"/>
      <c r="C49" s="19"/>
      <c r="D49" s="19" t="s">
        <v>27</v>
      </c>
      <c r="F49" s="19"/>
    </row>
    <row r="50" spans="2:6" x14ac:dyDescent="0.2">
      <c r="B50" s="20">
        <v>8838.9173641819216</v>
      </c>
      <c r="C50" s="19" t="s">
        <v>28</v>
      </c>
      <c r="D50" s="19"/>
      <c r="F50" s="19"/>
    </row>
    <row r="51" spans="2:6" x14ac:dyDescent="0.2">
      <c r="B51" s="21">
        <f>1/19.75</f>
        <v>5.0632911392405063E-2</v>
      </c>
      <c r="C51" s="19" t="s">
        <v>29</v>
      </c>
      <c r="D51" s="19"/>
      <c r="F51" s="19"/>
    </row>
    <row r="52" spans="2:6" x14ac:dyDescent="0.2">
      <c r="B52" s="19"/>
      <c r="C52" s="19"/>
      <c r="D52" s="19" t="s">
        <v>33</v>
      </c>
      <c r="F52" s="19"/>
    </row>
    <row r="53" spans="2:6" x14ac:dyDescent="0.2">
      <c r="B53" s="19"/>
      <c r="C53" s="19"/>
      <c r="D53" s="19" t="s">
        <v>34</v>
      </c>
      <c r="F53" s="19"/>
    </row>
    <row r="54" spans="2:6" x14ac:dyDescent="0.2">
      <c r="B54" s="19"/>
      <c r="C54" s="19"/>
      <c r="D54" s="19" t="s">
        <v>35</v>
      </c>
      <c r="F54" s="19"/>
    </row>
    <row r="55" spans="2:6" x14ac:dyDescent="0.2">
      <c r="B55" s="19"/>
      <c r="C55" s="19"/>
      <c r="D55" s="19" t="s">
        <v>36</v>
      </c>
      <c r="F55" s="19"/>
    </row>
    <row r="56" spans="2:6" x14ac:dyDescent="0.2">
      <c r="B56" s="19"/>
      <c r="C56" s="19"/>
      <c r="D56" s="19" t="s">
        <v>48</v>
      </c>
      <c r="F56" s="19"/>
    </row>
    <row r="57" spans="2:6" x14ac:dyDescent="0.2">
      <c r="B57" s="19"/>
      <c r="C57" s="19"/>
      <c r="D57" s="19" t="s">
        <v>37</v>
      </c>
      <c r="F57" s="19"/>
    </row>
    <row r="58" spans="2:6" x14ac:dyDescent="0.2">
      <c r="B58" s="19"/>
      <c r="C58" s="19"/>
      <c r="D58" s="19" t="s">
        <v>168</v>
      </c>
      <c r="F58" s="19"/>
    </row>
    <row r="59" spans="2:6" x14ac:dyDescent="0.2">
      <c r="B59" s="19"/>
      <c r="C59" s="19"/>
      <c r="D59" s="19" t="s">
        <v>49</v>
      </c>
      <c r="F59" s="19"/>
    </row>
    <row r="60" spans="2:6" x14ac:dyDescent="0.2">
      <c r="B60" s="19">
        <f>24.3</f>
        <v>24.3</v>
      </c>
      <c r="C60" s="19" t="s">
        <v>30</v>
      </c>
      <c r="D60" s="19"/>
      <c r="F60" s="19"/>
    </row>
    <row r="61" spans="2:6" x14ac:dyDescent="0.2">
      <c r="B61" s="19"/>
      <c r="C61" s="19"/>
      <c r="D61" s="19" t="s">
        <v>51</v>
      </c>
      <c r="F61" s="19"/>
    </row>
    <row r="62" spans="2:6" x14ac:dyDescent="0.2">
      <c r="B62" s="19"/>
      <c r="C62" s="19"/>
      <c r="D62" s="19" t="s">
        <v>50</v>
      </c>
      <c r="F62" s="19"/>
    </row>
    <row r="63" spans="2:6" x14ac:dyDescent="0.2">
      <c r="B63" s="19"/>
      <c r="C63" s="19"/>
      <c r="D63" s="19" t="s">
        <v>160</v>
      </c>
      <c r="F63" s="19"/>
    </row>
    <row r="64" spans="2:6" x14ac:dyDescent="0.2">
      <c r="B64" s="19"/>
      <c r="C64" s="19"/>
      <c r="D64" s="19" t="s">
        <v>161</v>
      </c>
      <c r="F64" s="19"/>
    </row>
    <row r="65" spans="2:11" x14ac:dyDescent="0.2">
      <c r="B65" s="19"/>
      <c r="C65" s="19"/>
      <c r="D65" s="19" t="s">
        <v>162</v>
      </c>
      <c r="F65" s="19"/>
    </row>
    <row r="66" spans="2:11" x14ac:dyDescent="0.2">
      <c r="B66" s="19">
        <v>2205</v>
      </c>
      <c r="D66" s="19" t="s">
        <v>163</v>
      </c>
      <c r="F66" s="19"/>
      <c r="H66" s="2"/>
      <c r="I66" s="2"/>
      <c r="J66" s="2"/>
      <c r="K66" s="2"/>
    </row>
    <row r="67" spans="2:11" x14ac:dyDescent="0.2">
      <c r="B67" s="22">
        <f>B50*B51*B60/B66</f>
        <v>4.932074788590274</v>
      </c>
      <c r="C67" s="19" t="s">
        <v>31</v>
      </c>
      <c r="D67" s="19"/>
      <c r="H67" s="25"/>
      <c r="I67" s="25"/>
      <c r="J67" s="25"/>
      <c r="K67" s="25"/>
    </row>
    <row r="68" spans="2:11" x14ac:dyDescent="0.2">
      <c r="C68" s="19" t="s">
        <v>32</v>
      </c>
      <c r="H68" s="25"/>
      <c r="I68" s="25"/>
      <c r="J68" s="25"/>
      <c r="K68" s="25"/>
    </row>
    <row r="69" spans="2:11" ht="25.5" x14ac:dyDescent="0.2">
      <c r="B69" s="149" t="s">
        <v>2</v>
      </c>
      <c r="C69" s="42" t="s">
        <v>153</v>
      </c>
      <c r="D69" s="26"/>
      <c r="H69" s="2"/>
      <c r="I69" s="2"/>
      <c r="J69" s="2"/>
      <c r="K69" s="2"/>
    </row>
    <row r="70" spans="2:11" x14ac:dyDescent="0.2">
      <c r="B70" s="98"/>
      <c r="D70" s="27"/>
    </row>
    <row r="71" spans="2:11" x14ac:dyDescent="0.2">
      <c r="B71" s="87" t="s">
        <v>128</v>
      </c>
      <c r="C71" s="61" t="s">
        <v>79</v>
      </c>
      <c r="D71" s="28"/>
      <c r="E71" s="3"/>
      <c r="F71" s="2"/>
      <c r="G71" s="2"/>
    </row>
    <row r="72" spans="2:11" x14ac:dyDescent="0.2">
      <c r="B72" s="87"/>
      <c r="C72" s="24" t="s">
        <v>21</v>
      </c>
      <c r="D72" s="29"/>
      <c r="E72" s="25"/>
      <c r="F72" s="25"/>
      <c r="G72" s="25"/>
    </row>
    <row r="73" spans="2:11" x14ac:dyDescent="0.2">
      <c r="C73" s="61" t="s">
        <v>73</v>
      </c>
      <c r="D73" s="35"/>
      <c r="E73" s="2"/>
      <c r="F73" s="2"/>
      <c r="G73" s="2"/>
    </row>
    <row r="77" spans="2:11" x14ac:dyDescent="0.2">
      <c r="B77" s="1"/>
      <c r="C77" s="1"/>
    </row>
    <row r="78" spans="2:11" x14ac:dyDescent="0.2">
      <c r="B78" s="1"/>
      <c r="C78" s="1"/>
    </row>
    <row r="79" spans="2:11" x14ac:dyDescent="0.2">
      <c r="B79" s="1"/>
      <c r="C79" s="1"/>
    </row>
    <row r="80" spans="2:11" x14ac:dyDescent="0.2">
      <c r="B80" s="1"/>
      <c r="C80" s="1"/>
    </row>
    <row r="81" spans="2:5" x14ac:dyDescent="0.2">
      <c r="B81" s="1"/>
      <c r="C81" s="1"/>
      <c r="D81" s="1"/>
      <c r="E81" s="1"/>
    </row>
    <row r="82" spans="2:5" x14ac:dyDescent="0.2">
      <c r="B82" s="1"/>
      <c r="C82" s="1"/>
      <c r="D82" s="1"/>
      <c r="E82" s="1"/>
    </row>
    <row r="83" spans="2:5" x14ac:dyDescent="0.2">
      <c r="B83" s="1"/>
      <c r="C83" s="1"/>
      <c r="D83" s="1"/>
      <c r="E83" s="1"/>
    </row>
    <row r="84" spans="2:5" x14ac:dyDescent="0.2">
      <c r="D84" s="1"/>
      <c r="E84" s="1"/>
    </row>
    <row r="85" spans="2:5" x14ac:dyDescent="0.2">
      <c r="D85" s="1"/>
      <c r="E85" s="1"/>
    </row>
    <row r="86" spans="2:5" x14ac:dyDescent="0.2">
      <c r="D86" s="1"/>
      <c r="E86" s="1"/>
    </row>
    <row r="87" spans="2:5" x14ac:dyDescent="0.2">
      <c r="D87" s="1"/>
      <c r="E87" s="1"/>
    </row>
  </sheetData>
  <sheetProtection algorithmName="SHA-512" hashValue="Scxv6S5iGoajE3n1IkqEFNMIw64RRQ3qwni+8s4G6cHBRIkSFF3IvBVye9mNQP1XD/kglmgif7a3b1nQJIxfkQ==" saltValue="2fN2FT/xe8eHGjPwdZdqJg==" spinCount="100000" sheet="1" objects="1" scenarios="1" selectLockedCells="1" selectUnlockedCells="1"/>
  <phoneticPr fontId="3" type="noConversion"/>
  <pageMargins left="0.75" right="0.75" top="1.25" bottom="0.75" header="0.5" footer="0.3"/>
  <pageSetup scale="80" fitToHeight="2" orientation="landscape" horizontalDpi="525" verticalDpi="525" r:id="rId1"/>
  <headerFooter alignWithMargins="0">
    <oddHeader>&amp;C&amp;G</oddHeader>
    <oddFooter>&amp;LDepartment of Local Services, Permitting Division
35030 SE Douglas Street, Suite 210
Snoqualmie, WA  98065-9266&amp;CMarch 2019&amp;R206-296-6600
   TTY Relay:  711
www.kingcounty.gov</oddFooter>
  </headerFooter>
  <drawing r:id="rId2"/>
  <legacyDrawing r:id="rId3"/>
  <legacyDrawingHF r:id="rId4"/>
  <oleObjects>
    <mc:AlternateContent xmlns:mc="http://schemas.openxmlformats.org/markup-compatibility/2006">
      <mc:Choice Requires="x14">
        <oleObject progId="Word.Document.8" shapeId="5121" r:id="rId5">
          <objectPr defaultSize="0" r:id="rId6">
            <anchor moveWithCells="1">
              <from>
                <xdr:col>1</xdr:col>
                <xdr:colOff>571500</xdr:colOff>
                <xdr:row>74</xdr:row>
                <xdr:rowOff>38100</xdr:rowOff>
              </from>
              <to>
                <xdr:col>6</xdr:col>
                <xdr:colOff>628650</xdr:colOff>
                <xdr:row>84</xdr:row>
                <xdr:rowOff>0</xdr:rowOff>
              </to>
            </anchor>
          </objectPr>
        </oleObject>
      </mc:Choice>
      <mc:Fallback>
        <oleObject progId="Word.Document.8" shapeId="5121"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Total Emissions</vt:lpstr>
      <vt:lpstr>Definition of Building Types</vt:lpstr>
      <vt:lpstr>Embodied Emissions</vt:lpstr>
      <vt:lpstr>Energy Emissions</vt:lpstr>
      <vt:lpstr>Transportation Emissions</vt:lpstr>
      <vt:lpstr>'Definition of Building Types'!Education</vt:lpstr>
      <vt:lpstr>'Energy Emissions'!Print_Area</vt:lpstr>
      <vt:lpstr>'Transportation Emissions'!Print_Area</vt:lpstr>
    </vt:vector>
  </TitlesOfParts>
  <Company>King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SEPA GHG Emissions Worksheet, 2019_03_11</dc:title>
  <dc:subject>SEPA GHG Emissions Worksheet, 2019_03_08</dc:subject>
  <dc:creator>DLS Permits</dc:creator>
  <cp:lastModifiedBy>Backman, John</cp:lastModifiedBy>
  <cp:lastPrinted>2019-03-11T16:46:19Z</cp:lastPrinted>
  <dcterms:created xsi:type="dcterms:W3CDTF">2007-10-04T20:48:34Z</dcterms:created>
  <dcterms:modified xsi:type="dcterms:W3CDTF">2019-03-11T21:50:46Z</dcterms:modified>
</cp:coreProperties>
</file>